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71" activeTab="4"/>
  </bookViews>
  <sheets>
    <sheet name="城镇危旧房计划汇总 （区县不涵盖长房）" sheetId="4" r:id="rId1"/>
    <sheet name="城镇危旧房计划汇总 （区县涵盖长房）" sheetId="3" r:id="rId2"/>
    <sheet name="城镇民生实事计划汇总 （区县涵盖长房）" sheetId="6" state="hidden" r:id="rId3"/>
    <sheet name="城镇民生实事计划汇总 （区县不涵盖长房） " sheetId="5" state="hidden" r:id="rId4"/>
    <sheet name="危旧房屋改造项目分表" sheetId="1" r:id="rId5"/>
  </sheets>
  <definedNames>
    <definedName name="_xlnm._FilterDatabase" localSheetId="4" hidden="1">危旧房屋改造项目分表!$A$5:$AG$354</definedName>
    <definedName name="_xlnm.Print_Titles" localSheetId="1">'城镇危旧房计划汇总 （区县涵盖长房）'!$3:$3</definedName>
    <definedName name="_xlnm.Print_Titles" localSheetId="0">'城镇危旧房计划汇总 （区县不涵盖长房）'!$3:$3</definedName>
    <definedName name="_xlnm.Print_Titles" localSheetId="3">'城镇民生实事计划汇总 （区县不涵盖长房） '!$3:$3</definedName>
    <definedName name="_xlnm.Print_Titles" localSheetId="2">'城镇民生实事计划汇总 （区县涵盖长房）'!$3:$3</definedName>
  </definedNames>
  <calcPr calcId="144525"/>
</workbook>
</file>

<file path=xl/sharedStrings.xml><?xml version="1.0" encoding="utf-8"?>
<sst xmlns="http://schemas.openxmlformats.org/spreadsheetml/2006/main" count="5033" uniqueCount="832">
  <si>
    <t>2022年长沙市城镇危旧房屋改造项目进度汇总表</t>
  </si>
  <si>
    <t>填报单位:</t>
  </si>
  <si>
    <t>填表日期：</t>
  </si>
  <si>
    <t>区属(单位）</t>
  </si>
  <si>
    <t>芙蓉区</t>
  </si>
  <si>
    <t>天心区</t>
  </si>
  <si>
    <t>岳麓区</t>
  </si>
  <si>
    <t>开福区</t>
  </si>
  <si>
    <t>雨花区</t>
  </si>
  <si>
    <t>长沙县</t>
  </si>
  <si>
    <t>望城区</t>
  </si>
  <si>
    <t>浏阳市</t>
  </si>
  <si>
    <t>宁乡市</t>
  </si>
  <si>
    <t>长房集团</t>
  </si>
  <si>
    <t>合计</t>
  </si>
  <si>
    <t>百分比</t>
  </si>
  <si>
    <t>2022年度任务</t>
  </si>
  <si>
    <t>项目数（栋）</t>
  </si>
  <si>
    <t>户数（户）</t>
  </si>
  <si>
    <t>面积（平米）</t>
  </si>
  <si>
    <t>计划投资(万元）</t>
  </si>
  <si>
    <t>维修加固</t>
  </si>
  <si>
    <t>未启动
（&lt;=10%）</t>
  </si>
  <si>
    <t>办理前期手续(11-30%)</t>
  </si>
  <si>
    <t>施工中
(31-89%)</t>
  </si>
  <si>
    <t>已完成
(&gt;=90%)</t>
  </si>
  <si>
    <t>小计</t>
  </si>
  <si>
    <t>原址重建</t>
  </si>
  <si>
    <t>加面重建</t>
  </si>
  <si>
    <t>棚改征收、拆除补偿</t>
  </si>
  <si>
    <t>办理前期手续（11-60%）</t>
  </si>
  <si>
    <t>住户搬离（61-89%）</t>
  </si>
  <si>
    <t>拆除倒地（&gt;=90%）</t>
  </si>
  <si>
    <t>办理前期手续情况合计</t>
  </si>
  <si>
    <t>已开工项目进展情况</t>
  </si>
  <si>
    <t>施工中、
住户搬离</t>
  </si>
  <si>
    <t>已完工</t>
  </si>
  <si>
    <t>投资金额（万元）</t>
  </si>
  <si>
    <t>进度百分比（%）</t>
  </si>
  <si>
    <t>开工率（%）</t>
  </si>
  <si>
    <t>2022年长沙市城镇民生实事项目进度汇总表</t>
  </si>
  <si>
    <t xml:space="preserve">                 2022年长沙市城镇危旧房屋改造项目进度表</t>
  </si>
  <si>
    <t>填表单位（盖章）：</t>
  </si>
  <si>
    <t>2022.02.18</t>
  </si>
  <si>
    <t>序号</t>
  </si>
  <si>
    <t>区属    （单位）</t>
  </si>
  <si>
    <t>街道</t>
  </si>
  <si>
    <t>社区</t>
  </si>
  <si>
    <t>详细地址</t>
  </si>
  <si>
    <t>项目名称</t>
  </si>
  <si>
    <t>危旧房屋基本情况</t>
  </si>
  <si>
    <t>改造进度</t>
  </si>
  <si>
    <t>完成投资额（万元）</t>
  </si>
  <si>
    <t>民生
实事</t>
  </si>
  <si>
    <t>备注</t>
  </si>
  <si>
    <t>栋数</t>
  </si>
  <si>
    <t>是否为
长房集团</t>
  </si>
  <si>
    <t>产权
单位/个人</t>
  </si>
  <si>
    <t>产权证号</t>
  </si>
  <si>
    <t>结构
形式</t>
  </si>
  <si>
    <t>产权
性质</t>
  </si>
  <si>
    <t>面积
（平方米）</t>
  </si>
  <si>
    <t>层数</t>
  </si>
  <si>
    <t>危险
等级</t>
  </si>
  <si>
    <t>改造方式</t>
  </si>
  <si>
    <t>计划投资额
（万元）</t>
  </si>
  <si>
    <t>是否需
奖补资金</t>
  </si>
  <si>
    <t>维修加固、原址重建、加面重建</t>
  </si>
  <si>
    <t>完成群众意愿征集
（10%）</t>
  </si>
  <si>
    <t>开工前
手续（20%）</t>
  </si>
  <si>
    <t>施工
进度
（60%）</t>
  </si>
  <si>
    <t>完成项目竣工验收工作
（10%）</t>
  </si>
  <si>
    <t>进度百分比</t>
  </si>
  <si>
    <t>前期手续
（50%）</t>
  </si>
  <si>
    <t>签订协议
（20%）</t>
  </si>
  <si>
    <t>住户搬离
（10%）</t>
  </si>
  <si>
    <t>房屋倒地
（10%）</t>
  </si>
  <si>
    <t>文艺路街道</t>
  </si>
  <si>
    <t>乔庄社区</t>
  </si>
  <si>
    <t>新生村36号</t>
  </si>
  <si>
    <t>私房</t>
  </si>
  <si>
    <t>刘春琴、刘雪琴、刘顺求</t>
  </si>
  <si>
    <t>混合</t>
  </si>
  <si>
    <t>住宅/私房</t>
  </si>
  <si>
    <t>D</t>
  </si>
  <si>
    <t>是</t>
  </si>
  <si>
    <t>否</t>
  </si>
  <si>
    <t>新生村28号</t>
  </si>
  <si>
    <t>蒋爱兰</t>
  </si>
  <si>
    <t>C</t>
  </si>
  <si>
    <t>定王台街道</t>
  </si>
  <si>
    <t>浏正街社区</t>
  </si>
  <si>
    <t>茶叶公司宿舍</t>
  </si>
  <si>
    <t>新生村42号</t>
  </si>
  <si>
    <t>张齐天、张幕穆</t>
  </si>
  <si>
    <t>新生村38号</t>
  </si>
  <si>
    <t>赵平、赵建军</t>
  </si>
  <si>
    <t>识字里社区</t>
  </si>
  <si>
    <t>水絮塘43号</t>
  </si>
  <si>
    <t>何广英、张静</t>
  </si>
  <si>
    <t>五里牌街道</t>
  </si>
  <si>
    <t>五里牌社区</t>
  </si>
  <si>
    <t>远大一路58号</t>
  </si>
  <si>
    <t>五里牌居民点7栋</t>
  </si>
  <si>
    <t>公私
夹杂</t>
  </si>
  <si>
    <t>化龙池社区</t>
  </si>
  <si>
    <t>东文庙坪37号</t>
  </si>
  <si>
    <t>长沙房产（集团）有限公司</t>
  </si>
  <si>
    <t>长房权证芙蓉字第00318364号</t>
  </si>
  <si>
    <t>住宅/直管公房</t>
  </si>
  <si>
    <t>藩后街社区</t>
  </si>
  <si>
    <t>藩后街49号</t>
  </si>
  <si>
    <t>长房权证芙蓉字第00365791号</t>
  </si>
  <si>
    <t>文艺新村社区</t>
  </si>
  <si>
    <t>复兴街164号</t>
  </si>
  <si>
    <t>长房权证芙蓉字第00318219号</t>
  </si>
  <si>
    <t>马王街社区</t>
  </si>
  <si>
    <t>古稻田37号</t>
  </si>
  <si>
    <t>无证</t>
  </si>
  <si>
    <t>广济桥社区</t>
  </si>
  <si>
    <t>广济桥67号</t>
  </si>
  <si>
    <t>长房权证芙蓉字第00302754号</t>
  </si>
  <si>
    <t>广济桥附52号</t>
  </si>
  <si>
    <t>黄泥坑巷17号</t>
  </si>
  <si>
    <t>长房权证芙蓉字第00316385号</t>
  </si>
  <si>
    <t>吉庆巷14号</t>
  </si>
  <si>
    <t>建湘路315号</t>
  </si>
  <si>
    <t>长房权证芙蓉字第00362412号</t>
  </si>
  <si>
    <t>建湘路319、323号</t>
  </si>
  <si>
    <t>金沙里社区</t>
  </si>
  <si>
    <t>建湘巷37号</t>
  </si>
  <si>
    <t>长房权证芙蓉字第00362411号</t>
  </si>
  <si>
    <t>韭菜园街道</t>
  </si>
  <si>
    <t>八一路社区</t>
  </si>
  <si>
    <t>韭菜园185号</t>
  </si>
  <si>
    <t>清香留7号</t>
  </si>
  <si>
    <t>清香留附8号</t>
  </si>
  <si>
    <t>荣阳里22.23号</t>
  </si>
  <si>
    <t>宝南街社区</t>
  </si>
  <si>
    <t>伍家井二条巷11号</t>
  </si>
  <si>
    <t>伍家井一条巷9号</t>
  </si>
  <si>
    <t>湘村里13号</t>
  </si>
  <si>
    <t>长房权证芙蓉字第00317147号</t>
  </si>
  <si>
    <t>湘村里2、3、5号</t>
  </si>
  <si>
    <t>湘（2020）长沙市不动产权第0150818号</t>
  </si>
  <si>
    <t>益清里17号</t>
  </si>
  <si>
    <t>长房权证芙蓉字第00365792号</t>
  </si>
  <si>
    <t>织机街16号</t>
  </si>
  <si>
    <t>长房权证芙蓉字第00302729号</t>
  </si>
  <si>
    <t>中山路43、45号</t>
  </si>
  <si>
    <t>长房权证芙蓉字第00317169号</t>
  </si>
  <si>
    <t>中山路112号</t>
  </si>
  <si>
    <t>长房权证开福字第00318388号</t>
  </si>
  <si>
    <t>建湘新村社区</t>
  </si>
  <si>
    <t>建湘路331号</t>
  </si>
  <si>
    <t>长房权证芙蓉字第00102982号</t>
  </si>
  <si>
    <t>桂花井66号</t>
  </si>
  <si>
    <t>长房权证芙蓉字第00317041号</t>
  </si>
  <si>
    <t>小瀛洲12、24号</t>
  </si>
  <si>
    <t>长房权证芙蓉字第00302711号</t>
  </si>
  <si>
    <t>浏正街25号</t>
  </si>
  <si>
    <t>长房权证芙蓉字第00302641号</t>
  </si>
  <si>
    <t>浏正街58号</t>
  </si>
  <si>
    <t>长房权证芙蓉字第00302662号</t>
  </si>
  <si>
    <t>古稻田2号</t>
  </si>
  <si>
    <t>长房权证芙蓉字第00362415号</t>
  </si>
  <si>
    <t>朝阳街道</t>
  </si>
  <si>
    <t>朝阳二村社区</t>
  </si>
  <si>
    <t>朝阳二村45栋旁边平房</t>
  </si>
  <si>
    <t>长房权证芙蓉字第00302756号</t>
  </si>
  <si>
    <t>丰泉古井社区</t>
  </si>
  <si>
    <t>定王台5号</t>
  </si>
  <si>
    <t>长房权证芙蓉字第00390047号</t>
  </si>
  <si>
    <t>复兴街25号</t>
  </si>
  <si>
    <t>长房权证芙蓉字第710134249号</t>
  </si>
  <si>
    <t>浏正街120号</t>
  </si>
  <si>
    <t>长房权证芙蓉字第00302639号</t>
  </si>
  <si>
    <t>木结构</t>
  </si>
  <si>
    <t>浏正街162号</t>
  </si>
  <si>
    <t>非住宅/其他</t>
  </si>
  <si>
    <t>中山路65号</t>
  </si>
  <si>
    <t>长房权证开福字第00317173号</t>
  </si>
  <si>
    <t>广济桥52号</t>
  </si>
  <si>
    <t>长房权证芙蓉字第00316206号</t>
  </si>
  <si>
    <t>上宜园6号</t>
  </si>
  <si>
    <t>长房权证芙蓉字第00316298号</t>
  </si>
  <si>
    <t>耕耘圃3号</t>
  </si>
  <si>
    <t>长房权证芙蓉字第00302520号</t>
  </si>
  <si>
    <t>城南路</t>
  </si>
  <si>
    <t>熙台岭</t>
  </si>
  <si>
    <t>四端里8号</t>
  </si>
  <si>
    <t>郑群</t>
  </si>
  <si>
    <t>个人</t>
  </si>
  <si>
    <t>裕南街</t>
  </si>
  <si>
    <t>裕南街社区</t>
  </si>
  <si>
    <t>裕南后街</t>
  </si>
  <si>
    <t>裕南后街8号</t>
  </si>
  <si>
    <t>许建兰</t>
  </si>
  <si>
    <t>砖混</t>
  </si>
  <si>
    <t>火把山社区</t>
  </si>
  <si>
    <t>长沙市天心区经贸街127号</t>
  </si>
  <si>
    <t>粮运2栋</t>
  </si>
  <si>
    <t>长沙市粮食指导办</t>
  </si>
  <si>
    <t>96-085</t>
  </si>
  <si>
    <t>住宅/房改房</t>
  </si>
  <si>
    <t>坡子街</t>
  </si>
  <si>
    <t>西牌楼社区</t>
  </si>
  <si>
    <t>朝阳巷22号</t>
  </si>
  <si>
    <t>公房（湖南省茶叶公司）</t>
  </si>
  <si>
    <t>拆除补偿</t>
  </si>
  <si>
    <t>西牌楼38号</t>
  </si>
  <si>
    <t>岳麓区城建开发公司</t>
  </si>
  <si>
    <t>坡子街社区</t>
  </si>
  <si>
    <t>衣铺街13号</t>
  </si>
  <si>
    <t>龙光宇</t>
  </si>
  <si>
    <t>其他</t>
  </si>
  <si>
    <t>创远社区</t>
  </si>
  <si>
    <t>书院巷110号</t>
  </si>
  <si>
    <t>书院巷湖南电梯厂宿舍</t>
  </si>
  <si>
    <t>坡子街道</t>
  </si>
  <si>
    <t>书院巷113号</t>
  </si>
  <si>
    <t>书院巷114号</t>
  </si>
  <si>
    <t>书院巷115号</t>
  </si>
  <si>
    <t>下六铺街20号</t>
  </si>
  <si>
    <t>电梯厂宿舍1</t>
  </si>
  <si>
    <t>住宅/自管公房</t>
  </si>
  <si>
    <t>电梯厂宿舍2</t>
  </si>
  <si>
    <t>电梯厂宿舍3</t>
  </si>
  <si>
    <t>电梯厂宿舍4</t>
  </si>
  <si>
    <t>书院巷104</t>
  </si>
  <si>
    <t>港行机械厂宿舍</t>
  </si>
  <si>
    <t>碧湘社区</t>
  </si>
  <si>
    <t>清泰祠34号</t>
  </si>
  <si>
    <t>公房</t>
  </si>
  <si>
    <t>南托街道</t>
  </si>
  <si>
    <t>北塘社区</t>
  </si>
  <si>
    <t>南托岭社区中意二路617号</t>
  </si>
  <si>
    <t>湖南四建宿舍楼老1栋</t>
  </si>
  <si>
    <t>湖南省第四工程有限公司</t>
  </si>
  <si>
    <t>住宅/商品房</t>
  </si>
  <si>
    <t>湖南四建宿舍楼老2栋</t>
  </si>
  <si>
    <t>棚改征收</t>
  </si>
  <si>
    <t>长坡社区</t>
  </si>
  <si>
    <t>南湖路</t>
  </si>
  <si>
    <t>水利水电8栋</t>
  </si>
  <si>
    <t>天心区政府</t>
  </si>
  <si>
    <t>水利水电7栋</t>
  </si>
  <si>
    <t>金盆岭</t>
  </si>
  <si>
    <t>天剑社区</t>
  </si>
  <si>
    <t>天心区南湖路水工小区</t>
  </si>
  <si>
    <t>水工小区5栋</t>
  </si>
  <si>
    <t>水工小区4栋</t>
  </si>
  <si>
    <t>水工小区3栋</t>
  </si>
  <si>
    <t>水工机械厂</t>
  </si>
  <si>
    <t>天心区天剑社区红石咀小区</t>
  </si>
  <si>
    <t>红石咀片区35栋</t>
  </si>
  <si>
    <t>红石咀片区37栋</t>
  </si>
  <si>
    <t>青山祠社区</t>
  </si>
  <si>
    <t>白沙路222号</t>
  </si>
  <si>
    <t>三木工厂宿舍</t>
  </si>
  <si>
    <t>沙河社区</t>
  </si>
  <si>
    <t>马益顺巷22号</t>
  </si>
  <si>
    <t>长房</t>
  </si>
  <si>
    <t>马益顺巷24号</t>
  </si>
  <si>
    <t>楚湘社区</t>
  </si>
  <si>
    <t>向家湾12号</t>
  </si>
  <si>
    <t>原橡胶厂宿舍</t>
  </si>
  <si>
    <t>下碧湘街51号</t>
  </si>
  <si>
    <t>原长沙航道局宿舍</t>
  </si>
  <si>
    <t>长沙港务局</t>
  </si>
  <si>
    <t>书院巷44号（现58号）</t>
  </si>
  <si>
    <t>书院巷44号</t>
  </si>
  <si>
    <t>张晓娴</t>
  </si>
  <si>
    <t>湘清别墅6号</t>
  </si>
  <si>
    <t>湘清别墅6号南栋</t>
  </si>
  <si>
    <t>公私合并</t>
  </si>
  <si>
    <t>赤岭路</t>
  </si>
  <si>
    <t>南大桥社区</t>
  </si>
  <si>
    <t>书院南路84号</t>
  </si>
  <si>
    <t>湖开生活区21栋</t>
  </si>
  <si>
    <t>湖南开关实业有限公司</t>
  </si>
  <si>
    <t>湖开生活区22栋</t>
  </si>
  <si>
    <t>湖开生活区19栋</t>
  </si>
  <si>
    <t>湖南开关厂</t>
  </si>
  <si>
    <t>湖开生活区20栋</t>
  </si>
  <si>
    <t>新开铺</t>
  </si>
  <si>
    <t>新天社区</t>
  </si>
  <si>
    <t>新开铺街道下新市街11号</t>
  </si>
  <si>
    <t>柏妹贞</t>
  </si>
  <si>
    <t>新开铺街道下新市街13号</t>
  </si>
  <si>
    <t>周绍溪</t>
  </si>
  <si>
    <t>新开铺街道下新市街15号</t>
  </si>
  <si>
    <t>彭德象</t>
  </si>
  <si>
    <t>新开铺街道下新市街17号</t>
  </si>
  <si>
    <t>王俊平</t>
  </si>
  <si>
    <t>新开铺街道下新市街19号</t>
  </si>
  <si>
    <t>尹平玉</t>
  </si>
  <si>
    <t>新开铺街道下新市街23号</t>
  </si>
  <si>
    <t>张建国</t>
  </si>
  <si>
    <t>新开铺街道下新市街21-1号</t>
  </si>
  <si>
    <t>朱为民</t>
  </si>
  <si>
    <t>新开铺街道下新市街27号</t>
  </si>
  <si>
    <t>黄伏兰</t>
  </si>
  <si>
    <t>新开铺街道下新市街29号</t>
  </si>
  <si>
    <t>熊国俊（熊钢）</t>
  </si>
  <si>
    <t>新开铺街道下新市街35号</t>
  </si>
  <si>
    <t>游金亮（游振军）</t>
  </si>
  <si>
    <t>新开铺街道下新市街37号</t>
  </si>
  <si>
    <t>符枚清</t>
  </si>
  <si>
    <t>新开铺街道下新市街39号</t>
  </si>
  <si>
    <t>符景云</t>
  </si>
  <si>
    <t>豹子岭社区</t>
  </si>
  <si>
    <t>新开铺街道横街47号</t>
  </si>
  <si>
    <t>新开铺街道横街99号</t>
  </si>
  <si>
    <t>天心阁</t>
  </si>
  <si>
    <t>和乐街8号</t>
  </si>
  <si>
    <t>长房权证天心字第00390325号</t>
  </si>
  <si>
    <t>坡子街街道</t>
  </si>
  <si>
    <t>文庙坪</t>
  </si>
  <si>
    <t>学工坪附67号</t>
  </si>
  <si>
    <t>无</t>
  </si>
  <si>
    <t>碧湘</t>
  </si>
  <si>
    <t>西湖路172号</t>
  </si>
  <si>
    <t>晏家塘</t>
  </si>
  <si>
    <t>铜铺巷5号</t>
  </si>
  <si>
    <t>长房权证天心字第00316424</t>
  </si>
  <si>
    <t>学宫门正街68号</t>
  </si>
  <si>
    <t>樊西巷</t>
  </si>
  <si>
    <t>劳动新村89号</t>
  </si>
  <si>
    <t>长房权证天心字第00305514号</t>
  </si>
  <si>
    <t>和乐街20号</t>
  </si>
  <si>
    <t>长房权证天心字第00316421号</t>
  </si>
  <si>
    <t>青山祠</t>
  </si>
  <si>
    <t>青山祠83-85号</t>
  </si>
  <si>
    <t>长房权证天心字第00316996号</t>
  </si>
  <si>
    <t>登仁桥</t>
  </si>
  <si>
    <t>陈家井41号</t>
  </si>
  <si>
    <t>长房权证天心字第00315565号</t>
  </si>
  <si>
    <t>坡子街黄兴南路二条巷1-5号1栋</t>
  </si>
  <si>
    <t>黄兴南路二条巷1-5号1栋</t>
  </si>
  <si>
    <t>长房权证天心字第00307020号</t>
  </si>
  <si>
    <t>坡子街黄兴南路103号</t>
  </si>
  <si>
    <t>黄兴南路103号</t>
  </si>
  <si>
    <t>长房权证天心字第00315383号</t>
  </si>
  <si>
    <t>燕子岭</t>
  </si>
  <si>
    <t>城南路冯家湾22号（非）</t>
  </si>
  <si>
    <t>冯家湾22号（非）</t>
  </si>
  <si>
    <t>长房权证天心字第00318151号</t>
  </si>
  <si>
    <t>城南路冯家湾22号</t>
  </si>
  <si>
    <t>冯家湾22号</t>
  </si>
  <si>
    <t>长房权证天心第00316438号</t>
  </si>
  <si>
    <t>太平街</t>
  </si>
  <si>
    <t>坡子街马家巷12号</t>
  </si>
  <si>
    <t>马家巷12号</t>
  </si>
  <si>
    <t>长房权证天心字第00315586号</t>
  </si>
  <si>
    <t>坡子街衣铺街6号</t>
  </si>
  <si>
    <t>衣铺街6号</t>
  </si>
  <si>
    <t>长房权证天心字第00306864号</t>
  </si>
  <si>
    <t>坡子街仁美园46号</t>
  </si>
  <si>
    <t>仁美园46号</t>
  </si>
  <si>
    <t>长房权证天心字第00316826号</t>
  </si>
  <si>
    <t>坡子街仁美园47号</t>
  </si>
  <si>
    <t>仁美园47号</t>
  </si>
  <si>
    <t>长房权证天心字第00316827号</t>
  </si>
  <si>
    <t>坡子街仁美园61号</t>
  </si>
  <si>
    <t>仁美园61号</t>
  </si>
  <si>
    <t>长房权证天心字第00307108号</t>
  </si>
  <si>
    <t>坡子街芙蓉巷18号</t>
  </si>
  <si>
    <t>芙蓉巷18号</t>
  </si>
  <si>
    <t>长房权证天心字第00307029号</t>
  </si>
  <si>
    <t>坡子街南墙湾74号</t>
  </si>
  <si>
    <t>南墙湾74号</t>
  </si>
  <si>
    <t>长房权证天心字第00306898号</t>
  </si>
  <si>
    <t>坡子街椿树园1号</t>
  </si>
  <si>
    <t>椿树园1号</t>
  </si>
  <si>
    <t>长房权证天心字第00305537号</t>
  </si>
  <si>
    <t>坡子街上碧湘街54号</t>
  </si>
  <si>
    <t>上碧湘街54号</t>
  </si>
  <si>
    <t>长房权证天心字第00306957号</t>
  </si>
  <si>
    <t>坡子街上碧湘街111号</t>
  </si>
  <si>
    <t>上碧湘街111号</t>
  </si>
  <si>
    <t>长房权证天心字第00316984号</t>
  </si>
  <si>
    <t>坡子街南村巷10号</t>
  </si>
  <si>
    <t>南村巷10号</t>
  </si>
  <si>
    <t>长房权证天心字第00316586号</t>
  </si>
  <si>
    <t>坡子街马益顺巷1号</t>
  </si>
  <si>
    <t>马益顺巷1号</t>
  </si>
  <si>
    <t>长房权证天心字第00318171号</t>
  </si>
  <si>
    <t>坡子街街道碧湘社区马益顺巷15号</t>
  </si>
  <si>
    <t>马益顺巷15号</t>
  </si>
  <si>
    <t xml:space="preserve">长房权证天心字第00382055号 </t>
  </si>
  <si>
    <t>西牌楼</t>
  </si>
  <si>
    <t>百合巷7号</t>
  </si>
  <si>
    <t>太傅里31号</t>
  </si>
  <si>
    <t>学院街63号</t>
  </si>
  <si>
    <t>和乐街5号</t>
  </si>
  <si>
    <t>长房权证天心字第00315386号</t>
  </si>
  <si>
    <t>西湖路200号</t>
  </si>
  <si>
    <t>长房权证天心字第00305503号</t>
  </si>
  <si>
    <t>上碧湘街附21号</t>
  </si>
  <si>
    <t>上碧湘街66号</t>
  </si>
  <si>
    <t>上碧湘街99号</t>
  </si>
  <si>
    <t>上碧湘街115号</t>
  </si>
  <si>
    <t>小雨厂坪2号</t>
  </si>
  <si>
    <t>长房权证天心字第00316994号</t>
  </si>
  <si>
    <t>马益顺巷26号</t>
  </si>
  <si>
    <t>裕南街街道</t>
  </si>
  <si>
    <t>解放四村5号</t>
  </si>
  <si>
    <t>解放四村435号</t>
  </si>
  <si>
    <t>长房权证天心字第00316873号</t>
  </si>
  <si>
    <t>裕南后街5-7号</t>
  </si>
  <si>
    <t>长房权证天心字00316886号</t>
  </si>
  <si>
    <t>裕南后街11号</t>
  </si>
  <si>
    <t>长房权证天心字第00317317号</t>
  </si>
  <si>
    <t>裕南后街48-50号</t>
  </si>
  <si>
    <t>裕南街6-9号</t>
  </si>
  <si>
    <t>长房权证天心字第00316875号</t>
  </si>
  <si>
    <t>裕南街44号</t>
  </si>
  <si>
    <t>长房权证天心字00305364号</t>
  </si>
  <si>
    <t>裕南街61-63号</t>
  </si>
  <si>
    <t>长房权证天心字00305272号</t>
  </si>
  <si>
    <t>大椿桥28号</t>
  </si>
  <si>
    <t>长房权证南直字第00419号</t>
  </si>
  <si>
    <t>宝塔山</t>
  </si>
  <si>
    <t>宝塔山151号</t>
  </si>
  <si>
    <t>长房权证天心字第00316590号</t>
  </si>
  <si>
    <t>石子冲</t>
  </si>
  <si>
    <t>仰天湖正街27号</t>
  </si>
  <si>
    <t>长房权证天心字第00316847号</t>
  </si>
  <si>
    <t>天剑</t>
  </si>
  <si>
    <t>扫把塘23-25号</t>
  </si>
  <si>
    <t>长房权证天心字第00316998号</t>
  </si>
  <si>
    <t>扫把塘65-67号</t>
  </si>
  <si>
    <t>长房权证天心字第00316842号</t>
  </si>
  <si>
    <t>扫把塘101号</t>
  </si>
  <si>
    <t>长房权证天心字第00317000号</t>
  </si>
  <si>
    <t>扫把塘131号</t>
  </si>
  <si>
    <t>长房权证天心字第00306975号</t>
  </si>
  <si>
    <t>宝塔山78号</t>
  </si>
  <si>
    <t>长房权证天心字第00305273号</t>
  </si>
  <si>
    <t>宝塔山154号</t>
  </si>
  <si>
    <t>长房权证南直字第000824号</t>
  </si>
  <si>
    <t>宝塔山176、177号</t>
  </si>
  <si>
    <t>长房权证天心字第00316856号</t>
  </si>
  <si>
    <t>宝塔山189-190号</t>
  </si>
  <si>
    <t>长房权证天心字第00331383号</t>
  </si>
  <si>
    <t>宝塔山208号</t>
  </si>
  <si>
    <t>长房权证天心字第000701号</t>
  </si>
  <si>
    <t>钟山里57号</t>
  </si>
  <si>
    <t>长房权证天心字第00382051号</t>
  </si>
  <si>
    <t>新市街35号</t>
  </si>
  <si>
    <t>长房权证天心字第00306996号</t>
  </si>
  <si>
    <t>裕南街73号</t>
  </si>
  <si>
    <t>长房权证天心字第00390360号</t>
  </si>
  <si>
    <t>裕南街85号</t>
  </si>
  <si>
    <t>长房权证天心字第00305356号</t>
  </si>
  <si>
    <t>南湖路附37号</t>
  </si>
  <si>
    <t>/</t>
  </si>
  <si>
    <t>解放四村225号</t>
  </si>
  <si>
    <t>仁美园36-40号</t>
  </si>
  <si>
    <t>长房权证天心字第00306885号</t>
  </si>
  <si>
    <t>仁美园41号</t>
  </si>
  <si>
    <t>马益顺巷85号</t>
  </si>
  <si>
    <t>长房权证天心字第00397804号</t>
  </si>
  <si>
    <t>锡庆里62号</t>
  </si>
  <si>
    <t>湘清别墅11号</t>
  </si>
  <si>
    <t>长房权证天心字第713183778号</t>
  </si>
  <si>
    <t>马益顺巷19号</t>
  </si>
  <si>
    <t>长房权证天心字第00609344号</t>
  </si>
  <si>
    <t>马益顺巷21号</t>
  </si>
  <si>
    <t>长房权证天心字第00305492号</t>
  </si>
  <si>
    <t>马益顺巷14号</t>
  </si>
  <si>
    <t>长房权证天心字第709110717号</t>
  </si>
  <si>
    <t>解放四村630、631号</t>
  </si>
  <si>
    <t>长房权证天心字第00336240号</t>
  </si>
  <si>
    <t>解放四村636-638号</t>
  </si>
  <si>
    <t>长房权证天心字第709126157号</t>
  </si>
  <si>
    <t>解放四村639号</t>
  </si>
  <si>
    <t>长房权证天心字第00317003号</t>
  </si>
  <si>
    <t>劳动新村居民点</t>
  </si>
  <si>
    <t>长房权证天心字第709110723号</t>
  </si>
  <si>
    <t>劳动新村居民点第2栋</t>
  </si>
  <si>
    <t>长房权证天心字第00566877号</t>
  </si>
  <si>
    <t>吴家坪</t>
  </si>
  <si>
    <t>里仁坡第3栋</t>
  </si>
  <si>
    <t>长房权证天心字第709101837号</t>
  </si>
  <si>
    <t>小雨厂坪7号</t>
  </si>
  <si>
    <t>长房权证天心字第00305487号</t>
  </si>
  <si>
    <t>小雨厂坪8号</t>
  </si>
  <si>
    <t>长房权证天心字第00305447号</t>
  </si>
  <si>
    <t>小雨厂坪9号</t>
  </si>
  <si>
    <t>长房权证天心字第708032646号</t>
  </si>
  <si>
    <t>杏花园1-2号</t>
  </si>
  <si>
    <t>长房权证天心字第00336242号</t>
  </si>
  <si>
    <t>杏花园3-4号</t>
  </si>
  <si>
    <t>长房权证天心字第00305424号</t>
  </si>
  <si>
    <t>杏花园5-6号</t>
  </si>
  <si>
    <t>长房权证天心字第00317004号</t>
  </si>
  <si>
    <t>栗茂巷16.18.20号</t>
  </si>
  <si>
    <t xml:space="preserve">长房权证天心字第00507506号 </t>
  </si>
  <si>
    <t>金井巷2号</t>
  </si>
  <si>
    <t>长房权证天心字第00087518号</t>
  </si>
  <si>
    <t>公有产权</t>
  </si>
  <si>
    <t>青山祠104号</t>
  </si>
  <si>
    <t>长房权证天心字第00305290号</t>
  </si>
  <si>
    <t>里仁坡5栋</t>
  </si>
  <si>
    <t>长房权证天心字第709092441号</t>
  </si>
  <si>
    <t>黄兴南路105号</t>
  </si>
  <si>
    <t>里仁园8号</t>
  </si>
  <si>
    <t>长房权证天心字第00305297号</t>
  </si>
  <si>
    <t>裕南街60号</t>
  </si>
  <si>
    <t>大椿桥5号</t>
  </si>
  <si>
    <t>长房权证南直字第00679号</t>
  </si>
  <si>
    <t>宝塔山181号</t>
  </si>
  <si>
    <t>长房权证天心字第00316593号</t>
  </si>
  <si>
    <t>栗茂巷15、17、19</t>
  </si>
  <si>
    <t>长房权证天心字第00307143号</t>
  </si>
  <si>
    <t>城南路高正街29号</t>
  </si>
  <si>
    <t>高正街29号</t>
  </si>
  <si>
    <t>长房权证天心字第00316528号</t>
  </si>
  <si>
    <t>岳麓街道</t>
  </si>
  <si>
    <t>云麓园社区</t>
  </si>
  <si>
    <t>麓山南路343号</t>
  </si>
  <si>
    <t>矿山研究院岳南5村1号</t>
  </si>
  <si>
    <t>单位/个人</t>
  </si>
  <si>
    <t>矿山研究院岳南5村2号</t>
  </si>
  <si>
    <t>矿山研究院岳南5村3号</t>
  </si>
  <si>
    <t>西湖</t>
  </si>
  <si>
    <t>咸家湖</t>
  </si>
  <si>
    <t>咸家湖79号</t>
  </si>
  <si>
    <t>长房权证岳麓字第00315274号</t>
  </si>
  <si>
    <t>咸家湖80号</t>
  </si>
  <si>
    <t>长房权证岳麓字第00315278号</t>
  </si>
  <si>
    <t>咸嘉湖74号1栋</t>
  </si>
  <si>
    <t>长房权证岳麓字第00315276号</t>
  </si>
  <si>
    <t>洋湖</t>
  </si>
  <si>
    <t>湘坪社区</t>
  </si>
  <si>
    <t>坪塘镇乾峰巷10号</t>
  </si>
  <si>
    <t>长房权证雨花字第716045818号</t>
  </si>
  <si>
    <t>坪塘镇乾峰巷34号</t>
  </si>
  <si>
    <t>长房权证雨花字第716045806号</t>
  </si>
  <si>
    <t>坪塘镇福音塘20号</t>
  </si>
  <si>
    <t>长房权证雨花字第716045812号</t>
  </si>
  <si>
    <t>坪塘镇乾峰巷3号</t>
  </si>
  <si>
    <t>长房权证雨花字第716045821号</t>
  </si>
  <si>
    <t>通泰街街道</t>
  </si>
  <si>
    <t>连升街社区</t>
  </si>
  <si>
    <t>水道巷28号</t>
  </si>
  <si>
    <t>胡平、胡灿、胡早琳、朱剑辉、胡玲芝、胡义军</t>
  </si>
  <si>
    <t>砌体结构</t>
  </si>
  <si>
    <t>轩辕殿社区</t>
  </si>
  <si>
    <t>湘清里44号（陈孟麟）</t>
  </si>
  <si>
    <t>其他性质住宅</t>
  </si>
  <si>
    <t>伍家岭街道</t>
  </si>
  <si>
    <t>建湘新村20栋</t>
  </si>
  <si>
    <t>建湘新村36栋</t>
  </si>
  <si>
    <t>建湘新村2栋</t>
  </si>
  <si>
    <t>建湘新村4栋</t>
  </si>
  <si>
    <t>建湘新村6栋</t>
  </si>
  <si>
    <t>建湘新村11栋</t>
  </si>
  <si>
    <t>建湘新村13栋</t>
  </si>
  <si>
    <t>建湘新村14栋</t>
  </si>
  <si>
    <t>建湘新村21栋</t>
  </si>
  <si>
    <t>建湘新村22栋</t>
  </si>
  <si>
    <t>建湘新村23栋</t>
  </si>
  <si>
    <t>建湘新村24栋</t>
  </si>
  <si>
    <t>建湘新村25栋</t>
  </si>
  <si>
    <t>建湘新村26栋</t>
  </si>
  <si>
    <t>建湘新村27栋</t>
  </si>
  <si>
    <t>建湘新村28栋</t>
  </si>
  <si>
    <t>建湘新村29栋</t>
  </si>
  <si>
    <t>建湘新村42栋</t>
  </si>
  <si>
    <t>望麓园街道</t>
  </si>
  <si>
    <t>水风井社区</t>
  </si>
  <si>
    <t>北墙湾2号</t>
  </si>
  <si>
    <t>长房权证开福字第00316569号</t>
  </si>
  <si>
    <t>营盘街社区</t>
  </si>
  <si>
    <t>蔡锷北路107号</t>
  </si>
  <si>
    <t>蔡锷北路248号</t>
  </si>
  <si>
    <t>戴祠巷2号</t>
  </si>
  <si>
    <t>东风路街道</t>
  </si>
  <si>
    <t>浏河社区</t>
  </si>
  <si>
    <t>德雅路10号</t>
  </si>
  <si>
    <t>长房权证开福字第00316553号</t>
  </si>
  <si>
    <t>德雅路118号</t>
  </si>
  <si>
    <t>长房权证开福字第00302453号</t>
  </si>
  <si>
    <t>德雅路268号</t>
  </si>
  <si>
    <t>长房权证开福字第00316462号</t>
  </si>
  <si>
    <t>德雅路436号</t>
  </si>
  <si>
    <t>长房权证开福字第00314705号</t>
  </si>
  <si>
    <t>德雅路519号</t>
  </si>
  <si>
    <t>富雅坪社区</t>
  </si>
  <si>
    <t>东兴园40号</t>
  </si>
  <si>
    <t>陡岭社区</t>
  </si>
  <si>
    <t>陡岭支路40号</t>
  </si>
  <si>
    <t>长房权证开福字第00390040号</t>
  </si>
  <si>
    <t>湘雅路街道</t>
  </si>
  <si>
    <t>文昌阁社区</t>
  </si>
  <si>
    <t>工农街122号</t>
  </si>
  <si>
    <t>长房权证开福字第00316733号</t>
  </si>
  <si>
    <t>王家垅社区</t>
  </si>
  <si>
    <t>工人新村9-14号</t>
  </si>
  <si>
    <t>长房权证开福字第00314579号</t>
  </si>
  <si>
    <t>盐道坪社区</t>
  </si>
  <si>
    <t>如意街2号</t>
  </si>
  <si>
    <t>长房权证开福字第00314700号</t>
  </si>
  <si>
    <t>局关祠33、35、37、39、41号</t>
  </si>
  <si>
    <t>燎原巷8号</t>
  </si>
  <si>
    <t>长房权证开福字第00314424号</t>
  </si>
  <si>
    <t>留芳岭社区</t>
  </si>
  <si>
    <t>留芳岭39号</t>
  </si>
  <si>
    <t>上麻园岭社区</t>
  </si>
  <si>
    <t>上麻园岭90号</t>
  </si>
  <si>
    <t>十间头8、9号</t>
  </si>
  <si>
    <t>文昌阁34号</t>
  </si>
  <si>
    <t>西园社区</t>
  </si>
  <si>
    <t>西园北里48号</t>
  </si>
  <si>
    <t>长房权证开福字第00418627号</t>
  </si>
  <si>
    <t>西园北里55号</t>
  </si>
  <si>
    <t>长房权证开福字第00316793号</t>
  </si>
  <si>
    <t>西园北里56号</t>
  </si>
  <si>
    <t>长房权证开福字第00305321号</t>
  </si>
  <si>
    <t>西园北里60、61号</t>
  </si>
  <si>
    <t>长房权证开福字第00316653号</t>
  </si>
  <si>
    <t>荷花池社区</t>
  </si>
  <si>
    <t>惜字公庄76号</t>
  </si>
  <si>
    <t>蒋家垅社区</t>
  </si>
  <si>
    <t>新码头路197号</t>
  </si>
  <si>
    <t>长房权证开福字第00314581号</t>
  </si>
  <si>
    <t>新河街道</t>
  </si>
  <si>
    <t>幸福桥社区</t>
  </si>
  <si>
    <t>幸福桥30号</t>
  </si>
  <si>
    <t>砚瓦池社区</t>
  </si>
  <si>
    <t>砚瓦池13号</t>
  </si>
  <si>
    <t>砚瓦池后街48号</t>
  </si>
  <si>
    <t>长房权证开福字第00314600号</t>
  </si>
  <si>
    <t>砚瓦池后街56号</t>
  </si>
  <si>
    <t>长房权证开福字第00314701号</t>
  </si>
  <si>
    <t>砚瓦池后街5号</t>
  </si>
  <si>
    <t>长房权证开福字第00314702号</t>
  </si>
  <si>
    <t>砚瓦池正街32号</t>
  </si>
  <si>
    <t>砚正街27号</t>
  </si>
  <si>
    <t>清水塘街道</t>
  </si>
  <si>
    <t>花城社区</t>
  </si>
  <si>
    <t>姚正街45号</t>
  </si>
  <si>
    <t>长房权证开福字第00314729号</t>
  </si>
  <si>
    <t>姚正街90号</t>
  </si>
  <si>
    <t>长房权证开福字第00314731号</t>
  </si>
  <si>
    <t>姚正街新52号</t>
  </si>
  <si>
    <t>长房权证开福字第003147730号</t>
  </si>
  <si>
    <t>永兴街40号</t>
  </si>
  <si>
    <t>新湘路社区</t>
  </si>
  <si>
    <t>赵家坪12号（新15号）</t>
  </si>
  <si>
    <t>长房权证开福字第00305208号</t>
  </si>
  <si>
    <t>赵家坪1号</t>
  </si>
  <si>
    <t xml:space="preserve">长房权证开福字第00305243号 </t>
  </si>
  <si>
    <t>百善台社区</t>
  </si>
  <si>
    <t>竹山园65、66、80、82号</t>
  </si>
  <si>
    <t xml:space="preserve">长房权证开福字第00316737号 </t>
  </si>
  <si>
    <t>竹山园78号</t>
  </si>
  <si>
    <t>潮宗街55、43号</t>
  </si>
  <si>
    <t>长房权证开福字第00314533号</t>
  </si>
  <si>
    <t>潮宗街45号</t>
  </si>
  <si>
    <t>长房权证开福字第00314537号</t>
  </si>
  <si>
    <t>北正街57号</t>
  </si>
  <si>
    <t>长房权证开福字第00316728号</t>
  </si>
  <si>
    <t>连升街77号（原83号）</t>
  </si>
  <si>
    <t>长房权证开福字第00316970号</t>
  </si>
  <si>
    <t>连升街69号</t>
  </si>
  <si>
    <t>长房权证开福字第00316971号</t>
  </si>
  <si>
    <t>连升街65号</t>
  </si>
  <si>
    <t>长房权证开福字第00316965号</t>
  </si>
  <si>
    <t>连升街27号</t>
  </si>
  <si>
    <t>长房权证开福字第00316972号</t>
  </si>
  <si>
    <t>春风街新36号</t>
  </si>
  <si>
    <t>长房权证开福字第00316583号</t>
  </si>
  <si>
    <t>蔡锷北路71号</t>
  </si>
  <si>
    <t>长房权证开福字第00314482号</t>
  </si>
  <si>
    <t>荷花池137号</t>
  </si>
  <si>
    <t>长房权证开福字第00314460号</t>
  </si>
  <si>
    <t>协和里4号</t>
  </si>
  <si>
    <t>长房权证开福字第00316264号</t>
  </si>
  <si>
    <t>十间头10号</t>
  </si>
  <si>
    <t>长房权证开福字第00418609号</t>
  </si>
  <si>
    <t>十间头12号（新37号）</t>
  </si>
  <si>
    <t>长房权证开福字第00316762号</t>
  </si>
  <si>
    <t>十间头13-17号</t>
  </si>
  <si>
    <t>长房权证开福字第00316710号</t>
  </si>
  <si>
    <t>十间头13号（39号）（新54号）</t>
  </si>
  <si>
    <t>长房权证开福字第00316746号</t>
  </si>
  <si>
    <t>十间头16号（老39、34号）（新69号）</t>
  </si>
  <si>
    <t>长房权证开福字第00316743号</t>
  </si>
  <si>
    <t>十间头25号（老31号）新36号</t>
  </si>
  <si>
    <t>长房权证开福字第00316741号</t>
  </si>
  <si>
    <t>十间头30号（老22号）新63号</t>
  </si>
  <si>
    <t>长房权证开福字第00316700号</t>
  </si>
  <si>
    <t>十间头新49-51号</t>
  </si>
  <si>
    <t>长房权证开福字第00316735号</t>
  </si>
  <si>
    <t>十间头新53-57号</t>
  </si>
  <si>
    <t>长房权证开福字第00316777号</t>
  </si>
  <si>
    <t>局后街10号</t>
  </si>
  <si>
    <t>长房权证开福字第00316557号</t>
  </si>
  <si>
    <t>局后街24号</t>
  </si>
  <si>
    <t>长房权证开福字第00316562号</t>
  </si>
  <si>
    <t>蔡锷北路7号</t>
  </si>
  <si>
    <t>德雅路42号</t>
  </si>
  <si>
    <t>长房权证开福字第00314590号</t>
  </si>
  <si>
    <t>堤下街171号</t>
  </si>
  <si>
    <t>红墙巷32号68号</t>
  </si>
  <si>
    <t>建湘新村8栋</t>
  </si>
  <si>
    <t>长房权证开福字第709094925号</t>
  </si>
  <si>
    <t>彭家井51号</t>
  </si>
  <si>
    <t>长房权证开福字第00305235号</t>
  </si>
  <si>
    <t>望麓园4栋</t>
  </si>
  <si>
    <t>长房权证开福字第00316127号</t>
  </si>
  <si>
    <t>砚瓦池居民点1栋</t>
  </si>
  <si>
    <t>长房权证开福字第709158453号</t>
  </si>
  <si>
    <t>接贵街49号</t>
  </si>
  <si>
    <t>西长街46号</t>
  </si>
  <si>
    <t>建湘新村15栋</t>
  </si>
  <si>
    <t>西长街236号</t>
  </si>
  <si>
    <t>湘清里12号</t>
  </si>
  <si>
    <t>长房权证开福字第00316478号</t>
  </si>
  <si>
    <t>东风路310号1栋</t>
  </si>
  <si>
    <t>长房权证开福字第711163356号</t>
  </si>
  <si>
    <t>东风路312号2栋</t>
  </si>
  <si>
    <t>长房权证开福字第00314582号</t>
  </si>
  <si>
    <t>东风路六条巷3号</t>
  </si>
  <si>
    <t>长房权证开福字第00314562号</t>
  </si>
  <si>
    <t>青竹湖街道</t>
  </si>
  <si>
    <t>霞凝社区</t>
  </si>
  <si>
    <t>霞凝港40号（1）</t>
  </si>
  <si>
    <t>长房权证开福字第00314564号</t>
  </si>
  <si>
    <t>霞凝巷6栋</t>
  </si>
  <si>
    <t>长房权证开福字第00314567号</t>
  </si>
  <si>
    <t>霞凝原菌肥厂</t>
  </si>
  <si>
    <t>长房权证开福字第00314572号</t>
  </si>
  <si>
    <t>如意街16号</t>
  </si>
  <si>
    <t>长房权证开福字第00314699号</t>
  </si>
  <si>
    <t>茶馆巷新15号</t>
  </si>
  <si>
    <t>茶馆巷新9号</t>
  </si>
  <si>
    <t>茶馆巷新10号</t>
  </si>
  <si>
    <t>长房权证开福字第00314688号</t>
  </si>
  <si>
    <t>茶馆巷新11号</t>
  </si>
  <si>
    <t>长房权证开福字第00314685号</t>
  </si>
  <si>
    <t>茶馆巷新14号</t>
  </si>
  <si>
    <t>长房权证开福字第00314687号</t>
  </si>
  <si>
    <t>茶馆巷新20号</t>
  </si>
  <si>
    <t>长房权证开福字第00314686号</t>
  </si>
  <si>
    <t>茶馆巷新4号</t>
  </si>
  <si>
    <t>长房权证开福字第00316079号</t>
  </si>
  <si>
    <t>同仁里14号</t>
  </si>
  <si>
    <t>长房权证开福字第00316473号</t>
  </si>
  <si>
    <t>同仁里20号</t>
  </si>
  <si>
    <t>长房权证开福字第00316483号</t>
  </si>
  <si>
    <t>同仁里3号</t>
  </si>
  <si>
    <t>长房权证开福字第00316474号</t>
  </si>
  <si>
    <t>同仁里5号</t>
  </si>
  <si>
    <t>长房权证开福字第00316479号</t>
  </si>
  <si>
    <t>同仁里7号</t>
  </si>
  <si>
    <t>长房权证开福字第713152303号</t>
  </si>
  <si>
    <t>同仁里9号</t>
  </si>
  <si>
    <t>长房权证开福字第00316574号</t>
  </si>
  <si>
    <t>雨花亭街道</t>
  </si>
  <si>
    <t>正圆社区</t>
  </si>
  <si>
    <t>雨花亭街道正圆小区</t>
  </si>
  <si>
    <t>二区公共厕所、
垃圾场</t>
  </si>
  <si>
    <t>非住宅/公共建筑</t>
  </si>
  <si>
    <t>二区工棚</t>
  </si>
  <si>
    <t>一区工棚</t>
  </si>
  <si>
    <t>一区公共垃圾场</t>
  </si>
  <si>
    <t>液化气站工棚</t>
  </si>
  <si>
    <t>长沙正圆动力配件有限责任公司集体宿舍1栋</t>
  </si>
  <si>
    <t>长沙正圆动力配件有限责任公司集体宿舍2栋</t>
  </si>
  <si>
    <t>长沙正圆动力配件有限责任公司集体宿舍3栋</t>
  </si>
  <si>
    <t>正圆社区2栋</t>
  </si>
  <si>
    <t>正圆社区3栋</t>
  </si>
  <si>
    <t>正圆社区4栋</t>
  </si>
  <si>
    <t>正圆社区5栋</t>
  </si>
  <si>
    <t>正圆社区9栋</t>
  </si>
  <si>
    <t>长沙正圆动力配件有限责任公司集体宿舍10栋</t>
  </si>
  <si>
    <t>正圆社区14栋</t>
  </si>
  <si>
    <t>正圆社区15栋</t>
  </si>
  <si>
    <t>井湾子街道</t>
  </si>
  <si>
    <t xml:space="preserve">井圭路社区    </t>
  </si>
  <si>
    <t>六公司五处井圭路22号</t>
  </si>
  <si>
    <t>省建六公司五处</t>
  </si>
  <si>
    <t>圭塘街道</t>
  </si>
  <si>
    <t>体院路社区</t>
  </si>
  <si>
    <t>体院路71号</t>
  </si>
  <si>
    <t>湖南体育职业学院职工宿舍40栋（家属楼2号栋）</t>
  </si>
  <si>
    <t>长重社区</t>
  </si>
  <si>
    <t>东二环一段56号</t>
  </si>
  <si>
    <t>长沙市国资公司长重3区16栋</t>
  </si>
  <si>
    <t>长沙市国资公司长重4区16栋</t>
  </si>
  <si>
    <t>左家塘</t>
  </si>
  <si>
    <t>长岭上169-172号</t>
  </si>
  <si>
    <t>长沙市国资公司长重4区14栋</t>
  </si>
  <si>
    <t>私有</t>
  </si>
  <si>
    <t>长沙市国资公司长重4区15栋</t>
  </si>
  <si>
    <t>砂子塘街道</t>
  </si>
  <si>
    <t>金科园社区</t>
  </si>
  <si>
    <t>砂子塘街道金科家园</t>
  </si>
  <si>
    <t>金科家园6#栋</t>
  </si>
  <si>
    <t>金科家园7#栋</t>
  </si>
  <si>
    <t>金科家园22#栋</t>
  </si>
  <si>
    <t>砂子塘社区</t>
  </si>
  <si>
    <t>砂子塘社区50栋</t>
  </si>
  <si>
    <t>砂子塘社区22栋</t>
  </si>
  <si>
    <t>黄金园街道</t>
  </si>
  <si>
    <t>英雄岭村</t>
  </si>
  <si>
    <t>英雄岭村梨树塘组</t>
  </si>
  <si>
    <t>水磨砖厂房屋</t>
  </si>
  <si>
    <t>长沙市文旅广局</t>
  </si>
  <si>
    <t>望国用（2007）第031号</t>
  </si>
  <si>
    <t>划拨</t>
  </si>
  <si>
    <t>拆除</t>
  </si>
  <si>
    <t>锦绣园商店房屋</t>
  </si>
  <si>
    <t>龙泽</t>
  </si>
  <si>
    <t>湘(2021)第0020431号</t>
  </si>
  <si>
    <t>出让</t>
  </si>
  <si>
    <t>㮾梨</t>
  </si>
  <si>
    <t>陶公庙</t>
  </si>
  <si>
    <t>陶公庙横街</t>
  </si>
  <si>
    <t>横街一居民点</t>
  </si>
  <si>
    <t>横街三居民点</t>
  </si>
  <si>
    <t>荷花</t>
  </si>
  <si>
    <t>南市</t>
  </si>
  <si>
    <t>南市社区麻纺厂小区</t>
  </si>
  <si>
    <t>麻纺厂小区宿舍楼</t>
  </si>
  <si>
    <t>原浏阳河苎麻纺织有限公司/张松敏</t>
  </si>
  <si>
    <t>资金投入为自筹</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</si>
</sst>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_ "/>
    <numFmt numFmtId="179" formatCode="0.0_ "/>
  </numFmts>
  <fonts count="42">
    <font>
      <sz val="11"/>
      <color theme="1"/>
      <name val="宋体"/>
      <charset val="134"/>
      <scheme val="minor"/>
    </font>
    <font>
      <sz val="18"/>
      <name val="方正小标宋_GBK"/>
      <charset val="134"/>
    </font>
    <font>
      <sz val="9"/>
      <name val="方正小标宋_GBK"/>
      <charset val="134"/>
    </font>
    <font>
      <sz val="9"/>
      <name val="仿宋"/>
      <charset val="134"/>
    </font>
    <font>
      <sz val="9"/>
      <color theme="1"/>
      <name val="仿宋_GB2312"/>
      <charset val="134"/>
    </font>
    <font>
      <sz val="9"/>
      <name val="仿宋_GB2312"/>
      <charset val="134"/>
    </font>
    <font>
      <sz val="9"/>
      <color indexed="8"/>
      <name val="仿宋_GB2312"/>
      <charset val="134"/>
    </font>
    <font>
      <sz val="9"/>
      <color rgb="FF000000"/>
      <name val="仿宋_GB2312"/>
      <charset val="134"/>
    </font>
    <font>
      <sz val="9"/>
      <name val="宋体"/>
      <charset val="134"/>
    </font>
    <font>
      <sz val="9"/>
      <color theme="1"/>
      <name val="方正小标宋_GBK"/>
      <charset val="134"/>
    </font>
    <font>
      <sz val="12"/>
      <color theme="1"/>
      <name val="宋体"/>
      <charset val="134"/>
      <scheme val="minor"/>
    </font>
    <font>
      <sz val="9"/>
      <color theme="1"/>
      <name val="仿宋_GB2312"/>
      <charset val="0"/>
    </font>
    <font>
      <sz val="9"/>
      <color theme="1"/>
      <name val="仿宋_GB2312"/>
      <charset val="1"/>
    </font>
    <font>
      <sz val="10"/>
      <color theme="1"/>
      <name val="仿宋_GB2312"/>
      <charset val="134"/>
    </font>
    <font>
      <sz val="9"/>
      <color theme="1"/>
      <name val="宋体"/>
      <charset val="134"/>
    </font>
    <font>
      <sz val="9"/>
      <name val="宋体"/>
      <charset val="1"/>
    </font>
    <font>
      <sz val="12"/>
      <name val="宋体"/>
      <charset val="134"/>
    </font>
    <font>
      <sz val="18"/>
      <name val="方正小标宋简体"/>
      <charset val="134"/>
    </font>
    <font>
      <sz val="18"/>
      <name val="宋体"/>
      <charset val="134"/>
    </font>
    <font>
      <sz val="9"/>
      <name val="黑体"/>
      <charset val="134"/>
    </font>
    <font>
      <sz val="8"/>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7" borderId="19"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0" applyNumberFormat="0" applyFill="0" applyAlignment="0" applyProtection="0">
      <alignment vertical="center"/>
    </xf>
    <xf numFmtId="0" fontId="33" fillId="0" borderId="20" applyNumberFormat="0" applyFill="0" applyAlignment="0" applyProtection="0">
      <alignment vertical="center"/>
    </xf>
    <xf numFmtId="0" fontId="25" fillId="9" borderId="0" applyNumberFormat="0" applyBorder="0" applyAlignment="0" applyProtection="0">
      <alignment vertical="center"/>
    </xf>
    <xf numFmtId="0" fontId="28" fillId="0" borderId="21" applyNumberFormat="0" applyFill="0" applyAlignment="0" applyProtection="0">
      <alignment vertical="center"/>
    </xf>
    <xf numFmtId="0" fontId="25" fillId="10" borderId="0" applyNumberFormat="0" applyBorder="0" applyAlignment="0" applyProtection="0">
      <alignment vertical="center"/>
    </xf>
    <xf numFmtId="0" fontId="34" fillId="11" borderId="22" applyNumberFormat="0" applyAlignment="0" applyProtection="0">
      <alignment vertical="center"/>
    </xf>
    <xf numFmtId="0" fontId="35" fillId="11" borderId="18" applyNumberFormat="0" applyAlignment="0" applyProtection="0">
      <alignment vertical="center"/>
    </xf>
    <xf numFmtId="0" fontId="36" fillId="12" borderId="23"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24" applyNumberFormat="0" applyFill="0" applyAlignment="0" applyProtection="0">
      <alignment vertical="center"/>
    </xf>
    <xf numFmtId="0" fontId="38" fillId="0" borderId="25"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16" fillId="0" borderId="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41" fillId="0" borderId="0"/>
    <xf numFmtId="0" fontId="16" fillId="0" borderId="0">
      <alignment vertical="center"/>
    </xf>
    <xf numFmtId="0" fontId="41" fillId="0" borderId="0"/>
    <xf numFmtId="0" fontId="41" fillId="0" borderId="0"/>
  </cellStyleXfs>
  <cellXfs count="160">
    <xf numFmtId="0" fontId="0" fillId="0" borderId="0" xfId="0">
      <alignment vertical="center"/>
    </xf>
    <xf numFmtId="0" fontId="0" fillId="0" borderId="0" xfId="0" applyFill="1" applyBorder="1" applyAlignment="1" applyProtection="1">
      <alignment horizontal="center" vertical="center"/>
      <protection locked="0"/>
    </xf>
    <xf numFmtId="9" fontId="0" fillId="0" borderId="0" xfId="0" applyNumberFormat="1" applyFill="1" applyBorder="1" applyAlignment="1" applyProtection="1">
      <alignment horizontal="center" vertical="center"/>
      <protection locked="0"/>
    </xf>
    <xf numFmtId="177" fontId="0" fillId="0" borderId="0" xfId="0" applyNumberForma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shrinkToFit="1"/>
    </xf>
    <xf numFmtId="49" fontId="4" fillId="0" borderId="4" xfId="5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4" xfId="44"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44" applyNumberFormat="1" applyFont="1" applyFill="1" applyBorder="1" applyAlignment="1">
      <alignment horizontal="center" vertical="center" wrapText="1"/>
    </xf>
    <xf numFmtId="0" fontId="4" fillId="0" borderId="4" xfId="0" applyNumberFormat="1" applyFont="1" applyFill="1" applyBorder="1" applyAlignment="1" applyProtection="1">
      <alignment horizontal="center" vertical="center" wrapText="1"/>
    </xf>
    <xf numFmtId="178" fontId="4" fillId="0" borderId="4" xfId="0" applyNumberFormat="1" applyFont="1" applyFill="1" applyBorder="1" applyAlignment="1" applyProtection="1">
      <alignment horizontal="center" vertical="center" wrapText="1"/>
    </xf>
    <xf numFmtId="177" fontId="4" fillId="0" borderId="4" xfId="0" applyNumberFormat="1" applyFont="1" applyFill="1" applyBorder="1" applyAlignment="1" applyProtection="1">
      <alignment horizontal="center" vertical="center" wrapText="1"/>
    </xf>
    <xf numFmtId="0" fontId="4" fillId="0" borderId="4" xfId="50" applyNumberFormat="1" applyFont="1" applyFill="1" applyBorder="1" applyAlignment="1" applyProtection="1">
      <alignment horizontal="center" vertical="center" wrapText="1"/>
    </xf>
    <xf numFmtId="177" fontId="4" fillId="0" borderId="4" xfId="44" applyNumberFormat="1"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178" fontId="4" fillId="0" borderId="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178" fontId="4" fillId="0" borderId="6"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8" fontId="4" fillId="0" borderId="7"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178" fontId="4" fillId="0" borderId="8"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9" fontId="1" fillId="0" borderId="2" xfId="0" applyNumberFormat="1" applyFont="1" applyFill="1" applyBorder="1" applyAlignment="1" applyProtection="1">
      <alignment horizontal="center" vertical="center"/>
      <protection locked="0"/>
    </xf>
    <xf numFmtId="9" fontId="2" fillId="0" borderId="4" xfId="0" applyNumberFormat="1" applyFont="1" applyFill="1" applyBorder="1" applyAlignment="1" applyProtection="1">
      <alignment horizontal="center" vertical="center"/>
      <protection locked="0"/>
    </xf>
    <xf numFmtId="9" fontId="2" fillId="0" borderId="4" xfId="0" applyNumberFormat="1" applyFont="1" applyFill="1" applyBorder="1" applyAlignment="1" applyProtection="1">
      <alignment horizontal="center" vertical="center" wrapText="1"/>
      <protection locked="0"/>
    </xf>
    <xf numFmtId="9" fontId="8" fillId="0" borderId="4" xfId="0" applyNumberFormat="1" applyFont="1" applyFill="1" applyBorder="1" applyAlignment="1" applyProtection="1">
      <alignment horizontal="center" vertical="center"/>
      <protection locked="0"/>
    </xf>
    <xf numFmtId="9" fontId="8" fillId="0" borderId="4"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xf>
    <xf numFmtId="177" fontId="1" fillId="0" borderId="2" xfId="0" applyNumberFormat="1" applyFont="1" applyFill="1" applyBorder="1" applyAlignment="1" applyProtection="1">
      <alignment horizontal="center" vertical="center"/>
      <protection locked="0"/>
    </xf>
    <xf numFmtId="31" fontId="2" fillId="0" borderId="4" xfId="0" applyNumberFormat="1" applyFont="1" applyFill="1" applyBorder="1" applyAlignment="1" applyProtection="1">
      <alignment horizontal="center" vertical="center"/>
      <protection locked="0"/>
    </xf>
    <xf numFmtId="177" fontId="2" fillId="0" borderId="4" xfId="0"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77" fontId="2"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protection locked="0"/>
    </xf>
    <xf numFmtId="0" fontId="4" fillId="0" borderId="4"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4" xfId="44" applyNumberFormat="1" applyFont="1" applyFill="1" applyBorder="1" applyAlignment="1">
      <alignment horizontal="center" vertical="center" wrapText="1"/>
    </xf>
    <xf numFmtId="0" fontId="5" fillId="0" borderId="4" xfId="52" applyNumberFormat="1" applyFont="1" applyFill="1" applyBorder="1" applyAlignment="1">
      <alignment horizontal="center" vertical="center" wrapText="1"/>
    </xf>
    <xf numFmtId="0" fontId="5" fillId="0" borderId="4" xfId="52" applyFont="1" applyFill="1" applyBorder="1" applyAlignment="1">
      <alignment horizontal="center" vertical="center" wrapText="1"/>
    </xf>
    <xf numFmtId="0" fontId="5" fillId="0" borderId="4" xfId="44" applyFont="1" applyFill="1" applyBorder="1" applyAlignment="1">
      <alignment horizontal="center" vertical="center" wrapText="1"/>
    </xf>
    <xf numFmtId="0" fontId="4" fillId="0" borderId="4" xfId="52" applyNumberFormat="1" applyFont="1" applyFill="1" applyBorder="1" applyAlignment="1" applyProtection="1">
      <alignment horizontal="center" vertical="center" wrapText="1"/>
    </xf>
    <xf numFmtId="49" fontId="5" fillId="0" borderId="4" xfId="5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77"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177" fontId="4" fillId="0" borderId="4" xfId="0" applyNumberFormat="1" applyFont="1" applyFill="1" applyBorder="1" applyAlignment="1">
      <alignment vertical="center"/>
    </xf>
    <xf numFmtId="0" fontId="4" fillId="0" borderId="4" xfId="44" applyFont="1" applyFill="1" applyBorder="1" applyAlignment="1">
      <alignment horizontal="center" vertical="center"/>
    </xf>
    <xf numFmtId="177" fontId="4" fillId="0" borderId="4" xfId="44" applyNumberFormat="1" applyFont="1" applyFill="1" applyBorder="1" applyAlignment="1">
      <alignment horizontal="center" vertical="center"/>
    </xf>
    <xf numFmtId="0" fontId="4" fillId="0" borderId="5" xfId="0" applyFont="1" applyFill="1" applyBorder="1" applyAlignment="1">
      <alignment horizontal="center" vertical="center"/>
    </xf>
    <xf numFmtId="177"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vertical="center" wrapText="1"/>
    </xf>
    <xf numFmtId="177" fontId="5" fillId="0" borderId="4" xfId="0" applyNumberFormat="1" applyFont="1" applyFill="1" applyBorder="1" applyAlignment="1">
      <alignment vertical="center"/>
    </xf>
    <xf numFmtId="177" fontId="5" fillId="0" borderId="4" xfId="0" applyNumberFormat="1"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177" fontId="5" fillId="0" borderId="9"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xf>
    <xf numFmtId="49" fontId="5"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4" xfId="52" applyFont="1" applyFill="1" applyBorder="1" applyAlignment="1" applyProtection="1">
      <alignment horizontal="center" vertical="center" wrapText="1"/>
    </xf>
    <xf numFmtId="0" fontId="4" fillId="0" borderId="9"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4" xfId="44" applyNumberFormat="1" applyFont="1" applyFill="1" applyBorder="1" applyAlignment="1">
      <alignment horizontal="center" vertical="center"/>
    </xf>
    <xf numFmtId="0" fontId="4" fillId="0" borderId="4" xfId="52"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4" fillId="0" borderId="4" xfId="44" applyFont="1" applyFill="1" applyBorder="1" applyAlignment="1">
      <alignment horizontal="center" vertical="center" wrapText="1"/>
    </xf>
    <xf numFmtId="0" fontId="4" fillId="0" borderId="4" xfId="52" applyFont="1" applyFill="1" applyBorder="1" applyAlignment="1">
      <alignment horizontal="center" vertical="center" wrapText="1"/>
    </xf>
    <xf numFmtId="0" fontId="4" fillId="0" borderId="4" xfId="51" applyFont="1" applyFill="1" applyBorder="1" applyAlignment="1">
      <alignment horizontal="center" vertical="center" wrapText="1"/>
    </xf>
    <xf numFmtId="49" fontId="4" fillId="0" borderId="4" xfId="0" applyNumberFormat="1" applyFont="1" applyFill="1" applyBorder="1" applyAlignment="1">
      <alignment horizontal="center" vertical="center" wrapText="1" shrinkToFit="1"/>
    </xf>
    <xf numFmtId="49" fontId="4" fillId="0" borderId="4" xfId="50" applyNumberFormat="1" applyFont="1" applyFill="1" applyBorder="1" applyAlignment="1">
      <alignment horizontal="center" vertical="center" wrapText="1"/>
    </xf>
    <xf numFmtId="0" fontId="4" fillId="0" borderId="4" xfId="44"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lignment horizontal="center" vertical="center" wrapText="1"/>
    </xf>
    <xf numFmtId="0" fontId="8" fillId="0" borderId="4" xfId="0" applyNumberFormat="1" applyFont="1" applyFill="1" applyBorder="1" applyAlignment="1" applyProtection="1">
      <alignment horizontal="center" vertical="center"/>
      <protection locked="0"/>
    </xf>
    <xf numFmtId="177" fontId="4" fillId="0" borderId="4" xfId="44"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45" applyNumberFormat="1" applyFont="1" applyFill="1" applyBorder="1" applyAlignment="1" applyProtection="1">
      <alignment horizontal="center" vertical="center" wrapText="1"/>
    </xf>
    <xf numFmtId="49" fontId="12" fillId="0" borderId="4" xfId="53"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4" xfId="53"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9" fontId="14" fillId="0" borderId="0"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177" fontId="14" fillId="0" borderId="0" xfId="0" applyNumberFormat="1" applyFont="1" applyFill="1" applyBorder="1" applyAlignment="1" applyProtection="1">
      <alignment horizontal="center" vertical="center"/>
      <protection locked="0"/>
    </xf>
    <xf numFmtId="0" fontId="16" fillId="0" borderId="0" xfId="0" applyFont="1" applyFill="1" applyAlignment="1">
      <alignment vertical="center"/>
    </xf>
    <xf numFmtId="0" fontId="16" fillId="0" borderId="0" xfId="0" applyFont="1" applyFill="1" applyAlignment="1">
      <alignment horizontal="center" vertical="center"/>
    </xf>
    <xf numFmtId="0" fontId="17"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0" fontId="8" fillId="0" borderId="0" xfId="0" applyFont="1" applyFill="1" applyAlignment="1" applyProtection="1">
      <alignment vertical="center"/>
    </xf>
    <xf numFmtId="0" fontId="19" fillId="0" borderId="4"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6" xfId="0" applyFont="1" applyFill="1" applyBorder="1" applyAlignment="1" applyProtection="1">
      <alignment horizontal="center" vertical="center" textRotation="255"/>
    </xf>
    <xf numFmtId="0" fontId="20" fillId="0" borderId="13"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textRotation="255"/>
    </xf>
    <xf numFmtId="0" fontId="20" fillId="0" borderId="16"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178" fontId="21" fillId="0" borderId="4"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textRotation="255"/>
    </xf>
    <xf numFmtId="177" fontId="21" fillId="0" borderId="4" xfId="0" applyNumberFormat="1" applyFont="1" applyFill="1" applyBorder="1" applyAlignment="1" applyProtection="1">
      <alignment horizontal="center" vertical="center"/>
    </xf>
    <xf numFmtId="0" fontId="20" fillId="0" borderId="6" xfId="0" applyFont="1" applyFill="1" applyBorder="1" applyAlignment="1" applyProtection="1">
      <alignment horizontal="center" vertical="center" textRotation="255" wrapText="1"/>
    </xf>
    <xf numFmtId="0" fontId="20" fillId="0" borderId="7" xfId="0" applyFont="1" applyFill="1" applyBorder="1" applyAlignment="1" applyProtection="1">
      <alignment horizontal="center" vertical="center" textRotation="255" wrapText="1"/>
    </xf>
    <xf numFmtId="0" fontId="19" fillId="0" borderId="0" xfId="0" applyFont="1" applyFill="1" applyAlignment="1" applyProtection="1">
      <alignment vertical="center"/>
    </xf>
    <xf numFmtId="31" fontId="8"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10" fontId="21" fillId="0" borderId="4"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10" fontId="21" fillId="0" borderId="4" xfId="11" applyNumberFormat="1" applyFont="1" applyFill="1" applyBorder="1" applyAlignment="1" applyProtection="1">
      <alignment horizontal="center" vertical="center"/>
    </xf>
    <xf numFmtId="9" fontId="21" fillId="0" borderId="4" xfId="0" applyNumberFormat="1" applyFont="1" applyFill="1" applyBorder="1" applyAlignment="1" applyProtection="1">
      <alignment horizontal="center" vertical="center"/>
    </xf>
    <xf numFmtId="179" fontId="21" fillId="0" borderId="4" xfId="0" applyNumberFormat="1" applyFont="1" applyFill="1" applyBorder="1" applyAlignment="1" applyProtection="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7" xfId="52"/>
    <cellStyle name="常规 3" xfId="53"/>
  </cellStyles>
  <dxfs count="4">
    <dxf>
      <font>
        <color rgb="FF9C0006"/>
      </font>
      <fill>
        <patternFill patternType="solid">
          <bgColor rgb="FFFFC7CE"/>
        </patternFill>
      </fill>
    </dxf>
    <dxf>
      <font>
        <b val="1"/>
        <i val="0"/>
        <color rgb="FFC00000"/>
      </font>
      <fill>
        <patternFill patternType="solid">
          <bgColor theme="5" tint="0.8"/>
        </patternFill>
      </fill>
    </dxf>
    <dxf>
      <font>
        <b val="1"/>
        <i val="0"/>
        <color rgb="FFC00000"/>
      </font>
      <fill>
        <patternFill patternType="solid">
          <bgColor theme="5" tint="0.8"/>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9" Type="http://schemas.openxmlformats.org/officeDocument/2006/relationships/hyperlink" Target="http://eip85.chanfine.com/chanfine/ams/cf_ams_property/cfAmsProperty.do?method=view&amp;fdId=173285554b7a723f7de9772407ca0600" TargetMode="External"/><Relationship Id="rId8" Type="http://schemas.openxmlformats.org/officeDocument/2006/relationships/hyperlink" Target="http://eip85.chanfine.com/chanfine/ams/cf_ams_property/cfAmsProperty.do?method=view&amp;fdId=15249fda2e30d49b4efdd974a6f88c0e" TargetMode="External"/><Relationship Id="rId7" Type="http://schemas.openxmlformats.org/officeDocument/2006/relationships/hyperlink" Target="http://eip85.chanfine.com/chanfine/ams/cf_ams_property/cfAmsProperty.do?method=view&amp;fdId=15249fd2c67676339a868694cebb35b2" TargetMode="External"/><Relationship Id="rId6" Type="http://schemas.openxmlformats.org/officeDocument/2006/relationships/hyperlink" Target="http://eip85.chanfine.com/chanfine/ams/cf_ams_property/cfAmsProperty.do?method=view&amp;fdId=17683dda4b9814a78b3a76940ff865ce" TargetMode="External"/><Relationship Id="rId5" Type="http://schemas.openxmlformats.org/officeDocument/2006/relationships/hyperlink" Target="http://eip85.chanfine.com/chanfine/ams/cf_ams_property/cfAmsProperty.do?method=view&amp;fdId=15249fd66eb854f03f37b0a4f4eb1674" TargetMode="External"/><Relationship Id="rId4" Type="http://schemas.openxmlformats.org/officeDocument/2006/relationships/hyperlink" Target="http://eip85.chanfine.com/chanfine/ams/cf_ams_property/cfAmsProperty.do?method=view&amp;fdId=15249fd1242d425d7015ae8481da1258" TargetMode="External"/><Relationship Id="rId3" Type="http://schemas.openxmlformats.org/officeDocument/2006/relationships/hyperlink" Target="http://eip85.chanfine.com/chanfine/ams/cf_ams_property/cfAmsProperty.do?method=view&amp;fdId=15249fd11863ddeff5121d84e738c19e" TargetMode="External"/><Relationship Id="rId29" Type="http://schemas.openxmlformats.org/officeDocument/2006/relationships/hyperlink" Target="http://eip85.chanfine.com/chanfine/ams/cf_ams_property/cfAmsProperty.do?method=view&amp;fdId=15249fd08f7a6c7968da737401cabe41" TargetMode="External"/><Relationship Id="rId28" Type="http://schemas.openxmlformats.org/officeDocument/2006/relationships/hyperlink" Target="http://eip85.chanfine.com/chanfine/ams/cf_ams_property/cfAmsProperty.do?method=view&amp;fdId=15249fd074e6633a2f3ef714dbb9745e" TargetMode="External"/><Relationship Id="rId27" Type="http://schemas.openxmlformats.org/officeDocument/2006/relationships/hyperlink" Target="http://eip85.chanfine.com/chanfine/ams/cf_ams_property/cfAmsProperty.do?method=view&amp;fdId=15249fcf84f6fab0932b05243dd8d88b" TargetMode="External"/><Relationship Id="rId26" Type="http://schemas.openxmlformats.org/officeDocument/2006/relationships/hyperlink" Target="http://eip85.chanfine.com/chanfine/ams/cf_ams_property/cfAmsProperty.do?method=view&amp;fdId=15249fcf66fa5c19585df554b8188d6a" TargetMode="External"/><Relationship Id="rId25" Type="http://schemas.openxmlformats.org/officeDocument/2006/relationships/hyperlink" Target="http://eip85.chanfine.com/chanfine/ams/cf_ams_property/cfAmsProperty.do?method=view&amp;fdId=15249fcf622061dd5f6e7c0483f9386f" TargetMode="External"/><Relationship Id="rId24" Type="http://schemas.openxmlformats.org/officeDocument/2006/relationships/hyperlink" Target="http://eip85.chanfine.com/chanfine/ams/cf_ams_property/cfAmsProperty.do?method=view&amp;fdId=15249fd96783d1f419dd61f44848751a" TargetMode="External"/><Relationship Id="rId23" Type="http://schemas.openxmlformats.org/officeDocument/2006/relationships/hyperlink" Target="http://eip85.chanfine.com/chanfine/ams/cf_ams_property/cfAmsProperty.do?method=view&amp;fdId=15249fd7832564aab5b7e914192b6e77" TargetMode="External"/><Relationship Id="rId22" Type="http://schemas.openxmlformats.org/officeDocument/2006/relationships/hyperlink" Target="http://eip85.chanfine.com/chanfine/ams/cf_ams_property/cfAmsProperty.do?method=view&amp;fdId=15249fd789d23743e16d97149e18232d" TargetMode="External"/><Relationship Id="rId21" Type="http://schemas.openxmlformats.org/officeDocument/2006/relationships/hyperlink" Target="http://eip85.chanfine.com/chanfine/ams/cf_ams_property/cfAmsProperty.do?method=view&amp;fdId=15249fd2ee542e45f60ef844c158b067" TargetMode="External"/><Relationship Id="rId20" Type="http://schemas.openxmlformats.org/officeDocument/2006/relationships/hyperlink" Target="http://eip85.chanfine.com/chanfine/ams/cf_ams_property/cfAmsProperty.do?method=view&amp;fdId=15249fd40cf1ae21bd689d64f95b8071" TargetMode="External"/><Relationship Id="rId2" Type="http://schemas.openxmlformats.org/officeDocument/2006/relationships/hyperlink" Target="http://eip85.chanfine.com/chanfine/ams/cf_ams_property/cfAmsProperty.do?method=view&amp;fdId=15249fe0e8f5cc9d12a2aa64858abc8d" TargetMode="External"/><Relationship Id="rId19" Type="http://schemas.openxmlformats.org/officeDocument/2006/relationships/hyperlink" Target="http://eip85.chanfine.com/chanfine/ams/cf_ams_property/cfAmsProperty.do?method=view&amp;fdId=15249fd5fa962d38395270c400baea5f" TargetMode="External"/><Relationship Id="rId18" Type="http://schemas.openxmlformats.org/officeDocument/2006/relationships/hyperlink" Target="http://eip85.chanfine.com/chanfine/ams/cf_ams_property/cfAmsProperty.do?method=view&amp;fdId=15249fd600e061ae880763840fd9d1fe" TargetMode="External"/><Relationship Id="rId17" Type="http://schemas.openxmlformats.org/officeDocument/2006/relationships/hyperlink" Target="http://eip85.chanfine.com/chanfine/ams/cf_ams_property/cfAmsProperty.do?method=view&amp;fdId=15249fd327a082fafad66474735b987f" TargetMode="External"/><Relationship Id="rId16" Type="http://schemas.openxmlformats.org/officeDocument/2006/relationships/hyperlink" Target="http://eip85.chanfine.com/chanfine/ams/cf_ams_property/cfAmsProperty.do?method=view&amp;fdId=15249fdc3c88f840d2968444eaaa4284" TargetMode="External"/><Relationship Id="rId15" Type="http://schemas.openxmlformats.org/officeDocument/2006/relationships/hyperlink" Target="http://eip85.chanfine.com/chanfine/ams/cf_ams_property/cfAmsProperty.do?method=view&amp;fdId=15249fc7ac6e4d59e2510f94f95b07ca" TargetMode="External"/><Relationship Id="rId14" Type="http://schemas.openxmlformats.org/officeDocument/2006/relationships/hyperlink" Target="http://eip85.chanfine.com/chanfine/ams/cf_ams_property/cfAmsProperty.do?method=view&amp;fdId=15249fdc8745b02de7690a14e0eba52c" TargetMode="External"/><Relationship Id="rId13" Type="http://schemas.openxmlformats.org/officeDocument/2006/relationships/hyperlink" Target="http://eip85.chanfine.com/chanfine/ams/cf_ams_property/cfAmsProperty.do?method=view&amp;fdId=15249fd667f267eeedd6ac04cf0befb5" TargetMode="External"/><Relationship Id="rId12" Type="http://schemas.openxmlformats.org/officeDocument/2006/relationships/hyperlink" Target="http://eip85.chanfine.com/chanfine/ams/cf_ams_property/cfAmsProperty.do?method=view&amp;fdId=15249fc7aa5f26f67f9ce3342dc98ba0" TargetMode="External"/><Relationship Id="rId11" Type="http://schemas.openxmlformats.org/officeDocument/2006/relationships/hyperlink" Target="http://eip85.chanfine.com/chanfine/ams/cf_ams_property/cfAmsProperty.do?method=view&amp;fdId=15249fc981a0bb41d2622c142f198569" TargetMode="External"/><Relationship Id="rId10" Type="http://schemas.openxmlformats.org/officeDocument/2006/relationships/hyperlink" Target="http://eip85.chanfine.com/chanfine/ams/cf_ams_property/cfAmsProperty.do?method=view&amp;fdId=15249fcbc492d3dd77857e24350b3973" TargetMode="External"/><Relationship Id="rId1" Type="http://schemas.openxmlformats.org/officeDocument/2006/relationships/hyperlink" Target="http://eip85.chanfine.com/chanfine/ams/cf_ams_property/cfAmsProperty.do?method=view&amp;fdId=15249fd10dacdf536abb5ca48b6977e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O83"/>
  <sheetViews>
    <sheetView showZeros="0" zoomScale="143" zoomScaleNormal="143" workbookViewId="0">
      <pane xSplit="2" ySplit="3" topLeftCell="C4" activePane="bottomRight" state="frozen"/>
      <selection/>
      <selection pane="topRight"/>
      <selection pane="bottomLeft"/>
      <selection pane="bottomRight" activeCell="C35" sqref="C35"/>
    </sheetView>
  </sheetViews>
  <sheetFormatPr defaultColWidth="9.81666666666667" defaultRowHeight="14.25"/>
  <cols>
    <col min="1" max="1" width="8.175" style="118" customWidth="1"/>
    <col min="2" max="2" width="10.6333333333333" style="118" customWidth="1"/>
    <col min="3" max="3" width="12.6833333333333" style="119" customWidth="1"/>
    <col min="4" max="14" width="9.40833333333333" style="118" customWidth="1"/>
    <col min="15" max="15" width="10.5416666666667" style="118" customWidth="1"/>
    <col min="16" max="16384" width="9.81666666666667" style="118"/>
  </cols>
  <sheetData>
    <row r="1" ht="22.5" spans="1:15">
      <c r="A1" s="120" t="s">
        <v>0</v>
      </c>
      <c r="B1" s="121"/>
      <c r="C1" s="121"/>
      <c r="D1" s="121"/>
      <c r="E1" s="121"/>
      <c r="F1" s="121"/>
      <c r="G1" s="121"/>
      <c r="H1" s="121"/>
      <c r="I1" s="121"/>
      <c r="J1" s="121"/>
      <c r="K1" s="121"/>
      <c r="L1" s="121"/>
      <c r="M1" s="121"/>
      <c r="N1" s="121"/>
      <c r="O1" s="121"/>
    </row>
    <row r="2" ht="13.5" spans="1:15">
      <c r="A2" s="122" t="s">
        <v>1</v>
      </c>
      <c r="B2" s="122"/>
      <c r="C2" s="123"/>
      <c r="D2" s="124"/>
      <c r="E2" s="124"/>
      <c r="F2" s="124"/>
      <c r="G2" s="124"/>
      <c r="H2" s="124"/>
      <c r="I2" s="146"/>
      <c r="J2" s="146"/>
      <c r="K2" s="146"/>
      <c r="L2" s="146" t="s">
        <v>2</v>
      </c>
      <c r="M2" s="146"/>
      <c r="N2" s="147"/>
      <c r="O2" s="148"/>
    </row>
    <row r="3" ht="16" customHeight="1" spans="1:15">
      <c r="A3" s="125" t="s">
        <v>3</v>
      </c>
      <c r="B3" s="125"/>
      <c r="C3" s="125"/>
      <c r="D3" s="126" t="s">
        <v>4</v>
      </c>
      <c r="E3" s="126" t="s">
        <v>5</v>
      </c>
      <c r="F3" s="126" t="s">
        <v>6</v>
      </c>
      <c r="G3" s="126" t="s">
        <v>7</v>
      </c>
      <c r="H3" s="126" t="s">
        <v>8</v>
      </c>
      <c r="I3" s="126" t="s">
        <v>9</v>
      </c>
      <c r="J3" s="126" t="s">
        <v>10</v>
      </c>
      <c r="K3" s="126" t="s">
        <v>11</v>
      </c>
      <c r="L3" s="126" t="s">
        <v>12</v>
      </c>
      <c r="M3" s="126" t="s">
        <v>13</v>
      </c>
      <c r="N3" s="126" t="s">
        <v>14</v>
      </c>
      <c r="O3" s="126" t="s">
        <v>15</v>
      </c>
    </row>
    <row r="4" ht="16" customHeight="1" spans="1:15">
      <c r="A4" s="127" t="s">
        <v>16</v>
      </c>
      <c r="B4" s="128"/>
      <c r="C4" s="129" t="s">
        <v>17</v>
      </c>
      <c r="D4" s="130">
        <f>SUMPRODUCT((危旧房屋改造项目分表!B$6:$B$353="芙蓉区")*(危旧房屋改造项目分表!AG$6:$AG$353="否"))</f>
        <v>7</v>
      </c>
      <c r="E4" s="130">
        <f>SUMPRODUCT((危旧房屋改造项目分表!$B$6:C$353="天心区")*(危旧房屋改造项目分表!$AG$6:AH$353="否"))</f>
        <v>50</v>
      </c>
      <c r="F4" s="130">
        <f>SUMPRODUCT((危旧房屋改造项目分表!$B$6:D$353="岳麓区")*(危旧房屋改造项目分表!$AG$6:AI$353="否"))</f>
        <v>3</v>
      </c>
      <c r="G4" s="130">
        <f>SUMPRODUCT((危旧房屋改造项目分表!$B$6:E$353="开福区")*(危旧房屋改造项目分表!$AG$6:AJ$353="否"))</f>
        <v>20</v>
      </c>
      <c r="H4" s="130">
        <f>SUMPRODUCT((危旧房屋改造项目分表!$B$6:F$353="雨花区")*(危旧房屋改造项目分表!$AG$6:AK$353="否"))</f>
        <v>27</v>
      </c>
      <c r="I4" s="130">
        <f>SUMPRODUCT((危旧房屋改造项目分表!$B$6:G$353="长沙县")*(危旧房屋改造项目分表!$AG$6:AL$353="否"))</f>
        <v>2</v>
      </c>
      <c r="J4" s="130">
        <f>SUMPRODUCT((危旧房屋改造项目分表!$B$6:H$353="望城区")*(危旧房屋改造项目分表!$AG$6:AM$353="否"))</f>
        <v>2</v>
      </c>
      <c r="K4" s="130">
        <f>SUMPRODUCT((危旧房屋改造项目分表!$B$6:I$353="浏阳市")*(危旧房屋改造项目分表!$AG$6:AN$353="否"))</f>
        <v>1</v>
      </c>
      <c r="L4" s="130">
        <f>SUMPRODUCT((危旧房屋改造项目分表!$B$6:J$353="宁乡市")*(危旧房屋改造项目分表!$AG$6:AO$353="否"))</f>
        <v>0</v>
      </c>
      <c r="M4" s="130">
        <f>COUNTIFS(危旧房屋改造项目分表!$AG$6:$AG$353,"是")</f>
        <v>236</v>
      </c>
      <c r="N4" s="130">
        <f>SUM($D$4:$M$4)</f>
        <v>348</v>
      </c>
      <c r="O4" s="130"/>
    </row>
    <row r="5" ht="14" customHeight="1" spans="1:15">
      <c r="A5" s="131"/>
      <c r="B5" s="132"/>
      <c r="C5" s="129" t="s">
        <v>18</v>
      </c>
      <c r="D5" s="130">
        <f>SUMIFS(危旧房屋改造项目分表!$K$6:$K$353,危旧房屋改造项目分表!$B$6:$B$353,"芙蓉区",危旧房屋改造项目分表!AG$6:$AG$353,"否")</f>
        <v>71</v>
      </c>
      <c r="E5" s="130">
        <f>SUMIFS(危旧房屋改造项目分表!$K$6:$K$353,危旧房屋改造项目分表!$B$6:$B$353,"天心区",危旧房屋改造项目分表!$AG$6:$AG$353,"否")</f>
        <v>1012</v>
      </c>
      <c r="F5" s="130">
        <f>SUMIFS(危旧房屋改造项目分表!$K$6:$K$353,危旧房屋改造项目分表!$B$6:$B$353,"岳麓区",危旧房屋改造项目分表!$AG$6:$AG$353,"否")</f>
        <v>67</v>
      </c>
      <c r="G5" s="130">
        <f>SUMIFS(危旧房屋改造项目分表!$K$6:$K$353,危旧房屋改造项目分表!$B$6:$B$353,"开福区",危旧房屋改造项目分表!$AG$6:$AG$353,"否")</f>
        <v>566</v>
      </c>
      <c r="H5" s="130">
        <f>SUMIFS(危旧房屋改造项目分表!$K$6:$K$353,危旧房屋改造项目分表!$B$6:$B$353,"雨花区",危旧房屋改造项目分表!$AG$6:$AG$353,"否")</f>
        <v>913</v>
      </c>
      <c r="I5" s="130">
        <f>SUMIFS(危旧房屋改造项目分表!$K$6:$K$353,危旧房屋改造项目分表!$B$6:$B$353,"长沙县",危旧房屋改造项目分表!$AG$6:$AG$353,"否")</f>
        <v>26</v>
      </c>
      <c r="J5" s="130">
        <f>SUMIFS(危旧房屋改造项目分表!$K$6:$K$353,危旧房屋改造项目分表!$B$6:$B$353,"望城区",危旧房屋改造项目分表!$AG$6:$AG$353,"否")</f>
        <v>2</v>
      </c>
      <c r="K5" s="130">
        <f>SUMIFS(危旧房屋改造项目分表!$K$6:$K$353,危旧房屋改造项目分表!$B$6:$B$353,"浏阳市",危旧房屋改造项目分表!$AG$6:$AG$353,"否")</f>
        <v>0</v>
      </c>
      <c r="L5" s="130">
        <f>SUMIFS(危旧房屋改造项目分表!$K$6:$K$353,危旧房屋改造项目分表!$B$6:$B$353,"宁乡市",危旧房屋改造项目分表!$AG$6:$AG$353,"否")</f>
        <v>0</v>
      </c>
      <c r="M5" s="130">
        <f>SUMIFS(危旧房屋改造项目分表!$K$6:$K$353,危旧房屋改造项目分表!$AG$6:$AG$353,"是")</f>
        <v>955</v>
      </c>
      <c r="N5" s="130">
        <f>SUM($D$5:$M$5)</f>
        <v>3612</v>
      </c>
      <c r="O5" s="130"/>
    </row>
    <row r="6" ht="17" customHeight="1" spans="1:15">
      <c r="A6" s="131"/>
      <c r="B6" s="132"/>
      <c r="C6" s="129" t="s">
        <v>19</v>
      </c>
      <c r="D6" s="130">
        <f>SUMIFS(危旧房屋改造项目分表!$L$6:$L$353,危旧房屋改造项目分表!$B$6:$B$353,"芙蓉区",危旧房屋改造项目分表!AG$6:$AG$353,"否")</f>
        <v>4192.69</v>
      </c>
      <c r="E6" s="130">
        <f>SUMIFS(危旧房屋改造项目分表!$L$6:$L$353,危旧房屋改造项目分表!$B$6:$B$353,"天心区",危旧房屋改造项目分表!$AG$6:$AG$353,"否")</f>
        <v>45639.25</v>
      </c>
      <c r="F6" s="130">
        <f>SUMIFS(危旧房屋改造项目分表!$L$6:$L$353,危旧房屋改造项目分表!$B$6:$B$353,"岳麓区",危旧房屋改造项目分表!$AG$6:$AG$353,"否")</f>
        <v>3817</v>
      </c>
      <c r="G6" s="130">
        <f>SUMIFS(危旧房屋改造项目分表!$L$6:$L$353,危旧房屋改造项目分表!$B$6:$B$353,"开福区",危旧房屋改造项目分表!$AG$6:$AG$353,"否")</f>
        <v>33571.86</v>
      </c>
      <c r="H6" s="130">
        <f>SUMIFS(危旧房屋改造项目分表!$L$6:$L$353,危旧房屋改造项目分表!$B$6:$B$353,"雨花区",危旧房屋改造项目分表!$AG$6:$AG$353,"否")</f>
        <v>41521.6</v>
      </c>
      <c r="I6" s="130">
        <f>SUMIFS(危旧房屋改造项目分表!$L$6:$L$353,危旧房屋改造项目分表!$B$6:$B$353,"长沙县",危旧房屋改造项目分表!$AG$6:$AG$353,"否")</f>
        <v>1327</v>
      </c>
      <c r="J6" s="130">
        <f>SUMIFS(危旧房屋改造项目分表!$L$6:$L$353,危旧房屋改造项目分表!$B$6:$B$353,"望城区",危旧房屋改造项目分表!$AG$6:$AG$353,"否")</f>
        <v>752.26</v>
      </c>
      <c r="K6" s="130">
        <f>SUMIFS(危旧房屋改造项目分表!$L$6:$L$353,危旧房屋改造项目分表!$B$6:$B$353,"浏阳市",危旧房屋改造项目分表!$AG$6:$AG$353,"否")</f>
        <v>1000</v>
      </c>
      <c r="L6" s="130">
        <f>SUMIFS(危旧房屋改造项目分表!$L$6:$L$353,危旧房屋改造项目分表!$B$6:$B$353,"宁乡市",危旧房屋改造项目分表!$AG$6:$AG$353,"否")</f>
        <v>0</v>
      </c>
      <c r="M6" s="130">
        <f>SUMIFS(危旧房屋改造项目分表!$L$6:$L$353,危旧房屋改造项目分表!$AG$6:$AG$353,"是")</f>
        <v>43535.41</v>
      </c>
      <c r="N6" s="130">
        <f>SUM($D$6:$M$6)</f>
        <v>175357.07</v>
      </c>
      <c r="O6" s="130"/>
    </row>
    <row r="7" ht="15" customHeight="1" spans="1:15">
      <c r="A7" s="133"/>
      <c r="B7" s="134"/>
      <c r="C7" s="129" t="s">
        <v>20</v>
      </c>
      <c r="D7" s="130">
        <f>SUMIFS(危旧房屋改造项目分表!$P$6:$P$353,危旧房屋改造项目分表!$B$6:$B$353,"芙蓉区",危旧房屋改造项目分表!AG$6:$AG$353,"否")</f>
        <v>888.68</v>
      </c>
      <c r="E7" s="130">
        <f>SUMIFS(危旧房屋改造项目分表!$P$6:$P$353,危旧房屋改造项目分表!$B$6:$B$353,"天心区",危旧房屋改造项目分表!$AG$6:$AG$353,"否")</f>
        <v>57648.627</v>
      </c>
      <c r="F7" s="130">
        <f>SUMIFS(危旧房屋改造项目分表!$P$6:$P$353,危旧房屋改造项目分表!$B$6:$B$353,"岳麓区",危旧房屋改造项目分表!$AG$6:$AG$353,"否")</f>
        <v>450</v>
      </c>
      <c r="G7" s="130">
        <f>SUMIFS(危旧房屋改造项目分表!$P$6:$P$353,危旧房屋改造项目分表!$B$6:$B$353,"开福区",危旧房屋改造项目分表!$AG$6:$AG$353,"否")</f>
        <v>5061.67</v>
      </c>
      <c r="H7" s="130">
        <f>SUMIFS(危旧房屋改造项目分表!$P$6:$P$353,危旧房屋改造项目分表!$B$6:$B$353,"雨花区",危旧房屋改造项目分表!$AG$6:$AG$353,"否")</f>
        <v>32834.027</v>
      </c>
      <c r="I7" s="130">
        <f>SUMIFS(危旧房屋改造项目分表!$P$6:$P$353,危旧房屋改造项目分表!$B$6:$B$353,"长沙县",危旧房屋改造项目分表!$AG$6:$AG$353,"否")</f>
        <v>0</v>
      </c>
      <c r="J7" s="130">
        <f>SUMIFS(危旧房屋改造项目分表!$P$6:$P$353,危旧房屋改造项目分表!$B$6:$B$353,"望城区",危旧房屋改造项目分表!$AG$6:$AG$353,"否")</f>
        <v>60.11</v>
      </c>
      <c r="K7" s="130">
        <f>SUMIFS(危旧房屋改造项目分表!$P$6:$P$353,危旧房屋改造项目分表!$B$6:$B$353,"浏阳市",危旧房屋改造项目分表!$AG$6:$AG$353,"否")</f>
        <v>0</v>
      </c>
      <c r="L7" s="130">
        <f>SUMIFS(危旧房屋改造项目分表!$P$6:$P$353,危旧房屋改造项目分表!$B$6:$B$353,"宁乡市",危旧房屋改造项目分表!$AG$6:$AG$353,"否")</f>
        <v>0</v>
      </c>
      <c r="M7" s="130">
        <f>SUMIFS(危旧房屋改造项目分表!$P$6:$P$353,危旧房屋改造项目分表!AG$6:$AG$353,"是")</f>
        <v>8619.3917</v>
      </c>
      <c r="N7" s="130">
        <f>SUM($D$7:$M$7)</f>
        <v>105562.5057</v>
      </c>
      <c r="O7" s="130"/>
    </row>
    <row r="8" ht="14.85" customHeight="1" spans="1:15">
      <c r="A8" s="135" t="s">
        <v>21</v>
      </c>
      <c r="B8" s="136" t="s">
        <v>22</v>
      </c>
      <c r="C8" s="129" t="s">
        <v>17</v>
      </c>
      <c r="D8" s="130">
        <f>IFERROR(SUMPRODUCT((危旧房屋改造项目分表!$B$6:$B$353=$D$3)*(危旧房屋改造项目分表!AG$6:$AG$353="否")*(危旧房屋改造项目分表!$O$6:$O$353="维修加固")*(危旧房屋改造项目分表!$V$6:$V$353&lt;=10%)*危旧房屋改造项目分表!$AF$6:$AF$353),"")</f>
        <v>2</v>
      </c>
      <c r="E8" s="130">
        <f>IFERROR(SUMPRODUCT((危旧房屋改造项目分表!$B$6:$B$353=$E$3)*(危旧房屋改造项目分表!AG$6:$AG$353="否")*(危旧房屋改造项目分表!$O$6:$O$353="维修加固")*(危旧房屋改造项目分表!$V$6:$V$353&lt;=10%)*危旧房屋改造项目分表!$AF$6:$AF$353),"")</f>
        <v>18</v>
      </c>
      <c r="F8" s="130">
        <f>IFERROR(SUMPRODUCT((危旧房屋改造项目分表!$B$6:$B$353=$F$3)*(危旧房屋改造项目分表!AG$6:$AG$353="否")*(危旧房屋改造项目分表!$O$6:$O$353="维修加固")*(危旧房屋改造项目分表!$V$6:$V$353&lt;10%)*危旧房屋改造项目分表!$AF$6:$AF$353),"")</f>
        <v>3</v>
      </c>
      <c r="G8" s="130">
        <f>IFERROR(SUMPRODUCT((危旧房屋改造项目分表!$B$6:$B$353=$G$3)*(危旧房屋改造项目分表!AG$6:$AG$353="否")*(危旧房屋改造项目分表!$O$6:$O$353="维修加固")*(危旧房屋改造项目分表!$V$6:$V$353&lt;10%)*危旧房屋改造项目分表!$AF$6:$AF$353),"")</f>
        <v>18</v>
      </c>
      <c r="H8" s="130">
        <f>IFERROR(SUMPRODUCT((危旧房屋改造项目分表!$B$6:$B$353=$H$3)*(危旧房屋改造项目分表!AG$6:$AG$353="否")*(危旧房屋改造项目分表!$O$6:$O$353="维修加固")*(危旧房屋改造项目分表!$V$6:$V$353&lt;10%)*危旧房屋改造项目分表!$AF$6:$AF$353),"")</f>
        <v>4</v>
      </c>
      <c r="I8" s="130">
        <f>IFERROR(SUMPRODUCT((危旧房屋改造项目分表!$B$6:$B$353=$I$3)*(危旧房屋改造项目分表!AG$6:$AG$353="否")*(危旧房屋改造项目分表!$O$6:$O$353="维修加固")*(危旧房屋改造项目分表!$V$6:$V$353&lt;10%)*危旧房屋改造项目分表!$AF$6:$AF$353),"")</f>
        <v>0</v>
      </c>
      <c r="J8" s="130">
        <f>IFERROR(SUMPRODUCT((危旧房屋改造项目分表!$B$6:$B$353=$J$3)*(危旧房屋改造项目分表!AG$6:$AG$353="否")*(危旧房屋改造项目分表!$O$6:$O$353="维修加固")*(危旧房屋改造项目分表!$V$6:$V$353&lt;10%)*危旧房屋改造项目分表!$AF$6:$AF$353),"")</f>
        <v>0</v>
      </c>
      <c r="K8" s="130">
        <f>IFERROR(SUMPRODUCT((危旧房屋改造项目分表!$B$6:$B$353=$K$3)*(危旧房屋改造项目分表!AG$6:$AG$353="否")*(危旧房屋改造项目分表!$O$6:$O$353="维修加固")*(危旧房屋改造项目分表!$V$6:$V$353&lt;10%)*危旧房屋改造项目分表!$AF$6:$AF$353),"")</f>
        <v>0</v>
      </c>
      <c r="L8" s="130">
        <f>IFERROR(SUMPRODUCT((危旧房屋改造项目分表!$B$6:$B$353=$L$3)*(危旧房屋改造项目分表!AG$6:$AG$353="否")*(危旧房屋改造项目分表!$O$6:$O$353="维修加固")*(危旧房屋改造项目分表!$V$6:$V$353&lt;10%)*危旧房屋改造项目分表!$AF$6:$AF$353),"")</f>
        <v>0</v>
      </c>
      <c r="M8" s="130">
        <f>IFERROR(SUMPRODUCT((危旧房屋改造项目分表!$AG$6:AH$353="是")*(危旧房屋改造项目分表!$O$6:$O$353="维修加固")*(危旧房屋改造项目分表!$V$6:$V$353&lt;10%)*危旧房屋改造项目分表!$AF$6:$AF$353),"")</f>
        <v>116</v>
      </c>
      <c r="N8" s="130">
        <f>SUM($D$8:$M$8)</f>
        <v>161</v>
      </c>
      <c r="O8" s="149">
        <f>IF(ISERROR(N8/$N$20),"",N8/$N$20)</f>
        <v>0.865591397849462</v>
      </c>
    </row>
    <row r="9" ht="14.85" customHeight="1" spans="1:15">
      <c r="A9" s="137"/>
      <c r="B9" s="138"/>
      <c r="C9" s="129" t="s">
        <v>18</v>
      </c>
      <c r="D9" s="130">
        <f>IFERROR(SUMPRODUCT((危旧房屋改造项目分表!$B$6:$B$353=$D$3)*(危旧房屋改造项目分表!AG$6:$AG$353="否")*(危旧房屋改造项目分表!$O$6:$O$353="维修加固")*(危旧房屋改造项目分表!$V$6:$V$353&lt;=10%)*危旧房屋改造项目分表!$K$6:$K$353),"")</f>
        <v>37</v>
      </c>
      <c r="E9" s="130">
        <f>IFERROR(SUMPRODUCT((危旧房屋改造项目分表!$B$6:$B$353=$E$3)*(危旧房屋改造项目分表!AG$6:$AG$353="否")*(危旧房屋改造项目分表!$O$6:$O$353="维修加固")*(危旧房屋改造项目分表!$V$6:$V$353&lt;=10%)*危旧房屋改造项目分表!$K$6:$K$353),"")</f>
        <v>207</v>
      </c>
      <c r="F9" s="130">
        <f>IFERROR(SUMPRODUCT((危旧房屋改造项目分表!$B$6:$B$353=$F$3)*(危旧房屋改造项目分表!AG$6:$AG$353="否")*(危旧房屋改造项目分表!$O$6:$O$353="维修加固")*(危旧房屋改造项目分表!$V$6:$V$353&lt;10%)*危旧房屋改造项目分表!$K$6:$K$353),"")</f>
        <v>67</v>
      </c>
      <c r="G9" s="130">
        <f>IFERROR(SUMPRODUCT((危旧房屋改造项目分表!$B$6:$B$353=$G$3)*(危旧房屋改造项目分表!AG$6:$AG$353="否")*(危旧房屋改造项目分表!$O$6:$O$353="维修加固")*(危旧房屋改造项目分表!$V$6:$V$353&lt;10%)*危旧房屋改造项目分表!$K$6:$K$353),"")</f>
        <v>561</v>
      </c>
      <c r="H9" s="130">
        <f>IFERROR(SUMPRODUCT((危旧房屋改造项目分表!$B$6:$B$353=$H$3)*(危旧房屋改造项目分表!AG$6:$AG$353="否")*(危旧房屋改造项目分表!$O$6:$O$353="维修加固")*(危旧房屋改造项目分表!$V$6:$V$353&lt;10%)*危旧房屋改造项目分表!$K$6:$K$353),"")</f>
        <v>146</v>
      </c>
      <c r="I9" s="130">
        <f>IFERROR(SUMPRODUCT((危旧房屋改造项目分表!$B$6:$B$353=$I$3)*(危旧房屋改造项目分表!AG$6:$AG$353="否")*(危旧房屋改造项目分表!$O$6:$O$353="维修加固")*(危旧房屋改造项目分表!$V$6:$V$353&lt;10%)*危旧房屋改造项目分表!$K$6:$K$353),"")</f>
        <v>0</v>
      </c>
      <c r="J9" s="130">
        <f>IFERROR(SUMPRODUCT((危旧房屋改造项目分表!$B$6:$B$353=$J$3)*(危旧房屋改造项目分表!AG$6:$AG$353="否")*(危旧房屋改造项目分表!$O$6:$O$353="维修加固")*(危旧房屋改造项目分表!$V$6:$V$353&lt;10%)*危旧房屋改造项目分表!$K$6:$K$353),"")</f>
        <v>0</v>
      </c>
      <c r="K9" s="130">
        <f>IFERROR(SUMPRODUCT((危旧房屋改造项目分表!$B$6:$B$353=$K$3)*(危旧房屋改造项目分表!AG$6:$AG$353="否")*(危旧房屋改造项目分表!$O$6:$O$353="维修加固")*(危旧房屋改造项目分表!$V$6:$V$353&lt;10%)*危旧房屋改造项目分表!$K$6:$K$353),"")</f>
        <v>0</v>
      </c>
      <c r="L9" s="130">
        <f>IFERROR(SUMPRODUCT((危旧房屋改造项目分表!$B$6:$B$353=$L$3)*(危旧房屋改造项目分表!AG$6:$AG$353="否")*(危旧房屋改造项目分表!$O$6:$O$353="维修加固")*(危旧房屋改造项目分表!$V$6:$V$353&lt;10%)*危旧房屋改造项目分表!$K$6:$K$353),"")</f>
        <v>0</v>
      </c>
      <c r="M9" s="130">
        <f>IFERROR(SUMPRODUCT((危旧房屋改造项目分表!$AG$6:AH$353="是")*(危旧房屋改造项目分表!$O$6:$O$353="维修加固")*(危旧房屋改造项目分表!$V$6:$V$353&lt;10%)*危旧房屋改造项目分表!$K$6:$K$353),"")</f>
        <v>462</v>
      </c>
      <c r="N9" s="130">
        <f>SUM($D$9:$M$9)</f>
        <v>1480</v>
      </c>
      <c r="O9" s="149">
        <f>IF(ISERROR(N9/$N$21),"",N9/$N$21)</f>
        <v>0.954223081882656</v>
      </c>
    </row>
    <row r="10" ht="14.85" customHeight="1" spans="1:15">
      <c r="A10" s="137"/>
      <c r="B10" s="139"/>
      <c r="C10" s="129" t="s">
        <v>19</v>
      </c>
      <c r="D10" s="130">
        <f>IFERROR(SUMPRODUCT((危旧房屋改造项目分表!$B$6:$B$353=$D$3)*(危旧房屋改造项目分表!AG$6:$AG$353="否")*(危旧房屋改造项目分表!$O$6:$O$353="维修加固")*(危旧房屋改造项目分表!$V$6:$V$353&lt;=10%)*危旧房屋改造项目分表!$L$6:$L$353),"")</f>
        <v>2464.89</v>
      </c>
      <c r="E10" s="130">
        <f>IFERROR(SUMPRODUCT((危旧房屋改造项目分表!$B$6:$B$353=$E$3)*(危旧房屋改造项目分表!AG$6:$AG$353="否")*(危旧房屋改造项目分表!$O$6:$O$353="维修加固")*(危旧房屋改造项目分表!$V$6:$V$353&lt;=10%)*危旧房屋改造项目分表!$L$6:$L$353),"")</f>
        <v>9170.65</v>
      </c>
      <c r="F10" s="130">
        <f>IFERROR(SUMPRODUCT((危旧房屋改造项目分表!$B$6:$B$353=$F$3)*(危旧房屋改造项目分表!AG$6:$AG$353="否")*(危旧房屋改造项目分表!$O$6:$O$353="维修加固")*(危旧房屋改造项目分表!$V$6:$V$353&lt;=10%)*危旧房屋改造项目分表!$L$6:$L$353),"")</f>
        <v>3817</v>
      </c>
      <c r="G10" s="130">
        <f>IFERROR(SUMPRODUCT((危旧房屋改造项目分表!$B$6:$B$353=$G$3)*(危旧房屋改造项目分表!AG$6:$AG$353="否")*(危旧房屋改造项目分表!$O$6:$O$353="维修加固")*(危旧房屋改造项目分表!$V$6:$V$353&lt;=10%)*危旧房屋改造项目分表!$L$6:$L$353),"")</f>
        <v>33398.93</v>
      </c>
      <c r="H10" s="130">
        <f>IFERROR(SUMPRODUCT((危旧房屋改造项目分表!$B$6:$B$353=$H$3)*(危旧房屋改造项目分表!AG$6:$AG$353="否")*(危旧房屋改造项目分表!$O$6:$O$353="维修加固")*(危旧房屋改造项目分表!$V$6:$V$353&lt;=10%)*危旧房屋改造项目分表!$L$6:$L$353),"")</f>
        <v>8397.41</v>
      </c>
      <c r="I10" s="130">
        <f>IFERROR(SUMPRODUCT((危旧房屋改造项目分表!$B$6:$B$353=$I$3)*(危旧房屋改造项目分表!AG$6:$AG$353="否")*(危旧房屋改造项目分表!$O$6:$O$353="维修加固")*(危旧房屋改造项目分表!$V$6:$V$353&lt;=10%)*危旧房屋改造项目分表!$L$6:$L$353),"")</f>
        <v>0</v>
      </c>
      <c r="J10" s="130">
        <f>IFERROR(SUMPRODUCT((危旧房屋改造项目分表!$B$6:$B$353=$J$3)*(危旧房屋改造项目分表!AG$6:$AG$353="否")*(危旧房屋改造项目分表!$O$6:$O$353="维修加固")*(危旧房屋改造项目分表!$V$6:$V$353&lt;=10%)*危旧房屋改造项目分表!$L$6:$L$353),"")</f>
        <v>0</v>
      </c>
      <c r="K10" s="130">
        <f>IFERROR(SUMPRODUCT((危旧房屋改造项目分表!$B$6:$B$353=$K$3)*(危旧房屋改造项目分表!AG$6:$AG$353="否")*(危旧房屋改造项目分表!$O$6:$O$353="维修加固")*(危旧房屋改造项目分表!$V$6:$V$353&lt;=10%)*危旧房屋改造项目分表!$L$6:$L$353),"")</f>
        <v>0</v>
      </c>
      <c r="L10" s="130">
        <f>IFERROR(SUMPRODUCT((危旧房屋改造项目分表!$B$6:$B$353=$L$3)*(危旧房屋改造项目分表!AG$6:$AG$353="否")*(危旧房屋改造项目分表!$O$6:$O$353="维修加固")*(危旧房屋改造项目分表!$V$6:$V$353&lt;=10%)*危旧房屋改造项目分表!$L$6:$L$353),"")</f>
        <v>0</v>
      </c>
      <c r="M10" s="130">
        <f>IFERROR(SUMPRODUCT((危旧房屋改造项目分表!$AG$6:AH$353="是")*(危旧房屋改造项目分表!$O$6:$O$353="维修加固")*(危旧房屋改造项目分表!$V$6:$V$353&lt;=10%)*危旧房屋改造项目分表!$L$6:$L$353),"")</f>
        <v>21455.8</v>
      </c>
      <c r="N10" s="130">
        <f>SUM($D$10:$M$10)</f>
        <v>78704.68</v>
      </c>
      <c r="O10" s="149">
        <f>IF(ISERROR(N10/$N$22),"",N10/$N$22)</f>
        <v>0.959905649446715</v>
      </c>
    </row>
    <row r="11" ht="14.85" customHeight="1" spans="1:15">
      <c r="A11" s="137"/>
      <c r="B11" s="140" t="s">
        <v>23</v>
      </c>
      <c r="C11" s="129" t="s">
        <v>17</v>
      </c>
      <c r="D11" s="130">
        <f>IFERROR(SUMPRODUCT((危旧房屋改造项目分表!$B$6:$B$353=$D$3)*(危旧房屋改造项目分表!AG$6:$AG$353="否")*(危旧房屋改造项目分表!$O$6:$O$353="维修加固")*(危旧房屋改造项目分表!$V$6:$V$353&gt;=11%)*(危旧房屋改造项目分表!$V$6:$V$353&lt;=30%)*危旧房屋改造项目分表!$AF$6:$AF$353),"")</f>
        <v>0</v>
      </c>
      <c r="E11" s="130">
        <f>IFERROR(SUMPRODUCT((危旧房屋改造项目分表!$B$6:$B$353=$E$3)*(危旧房屋改造项目分表!AG$6:$AG$353="否")*(危旧房屋改造项目分表!$O$6:$O$353="维修加固")*(危旧房屋改造项目分表!$V$6:$V$353&gt;=11%)*(危旧房屋改造项目分表!$V$6:$V$353&lt;=30%)*危旧房屋改造项目分表!$AF$6:$AF$353),"")</f>
        <v>0</v>
      </c>
      <c r="F11" s="130">
        <f>IFERROR(SUMPRODUCT((危旧房屋改造项目分表!$B$6:$B$353=$F$3)*(危旧房屋改造项目分表!AG$6:$AG$353="否")*(危旧房屋改造项目分表!$O$6:$O$353="维修加固")*(危旧房屋改造项目分表!$V$6:$V$353&gt;=11%)*(危旧房屋改造项目分表!$V$6:$V$353&lt;=30%)*危旧房屋改造项目分表!$AF$6:$AF$353),"")</f>
        <v>0</v>
      </c>
      <c r="G11" s="130">
        <f>IFERROR(SUMPRODUCT((危旧房屋改造项目分表!$B$6:$B$353=$G$3)*(危旧房屋改造项目分表!AG$6:$AG$353="否")*(危旧房屋改造项目分表!$O$6:$O$353="维修加固")*(危旧房屋改造项目分表!$V$6:$V$353&gt;=11%)*(危旧房屋改造项目分表!$V$6:$V$353&lt;=30%)*危旧房屋改造项目分表!$AF$6:$AF$353),"")</f>
        <v>0</v>
      </c>
      <c r="H11" s="130">
        <f>IFERROR(SUMPRODUCT((危旧房屋改造项目分表!$B$6:$B$353=$H$3)*(危旧房屋改造项目分表!AG$6:$AG$353="否")*(危旧房屋改造项目分表!$O$6:$O$353="维修加固")*(危旧房屋改造项目分表!$V$6:$V$353&gt;=11%)*(危旧房屋改造项目分表!$V$6:$V$353&lt;=30%)*危旧房屋改造项目分表!$AF$6:$AF$353),"")</f>
        <v>0</v>
      </c>
      <c r="I11" s="130">
        <f>IFERROR(SUMPRODUCT((危旧房屋改造项目分表!$B$6:$B$353=$I$3)*(危旧房屋改造项目分表!AG$6:$AG$353="否")*(危旧房屋改造项目分表!$O$6:$O$353="维修加固")*(危旧房屋改造项目分表!$V$6:$V$353&gt;=11%)*(危旧房屋改造项目分表!$V$6:$V$353&lt;=30%)*危旧房屋改造项目分表!$AF$6:$AF$353),"")</f>
        <v>0</v>
      </c>
      <c r="J11" s="130">
        <f>IFERROR(SUMPRODUCT((危旧房屋改造项目分表!$B$6:$B$353=$J$3)*(危旧房屋改造项目分表!AG$6:$AG$353="否")*(危旧房屋改造项目分表!$O$6:$O$353="维修加固")*(危旧房屋改造项目分表!$V$6:$V$353&gt;=11%)*(危旧房屋改造项目分表!$V$6:$V$353&lt;=30%)*危旧房屋改造项目分表!$AF$6:$AF$353),"")</f>
        <v>0</v>
      </c>
      <c r="K11" s="130">
        <f>IFERROR(SUMPRODUCT((危旧房屋改造项目分表!$B$6:$B$353=$K$3)*(危旧房屋改造项目分表!AG$6:$AG$353="否")*(危旧房屋改造项目分表!$O$6:$O$353="维修加固")*(危旧房屋改造项目分表!$V$6:$V$353&gt;=11%)*(危旧房屋改造项目分表!$V$6:$V$353&lt;=30%)*危旧房屋改造项目分表!$AF$6:$AF$353),"")</f>
        <v>0</v>
      </c>
      <c r="L11" s="130">
        <f>IFERROR(SUMPRODUCT((危旧房屋改造项目分表!$B$6:$B$353=$L$3)*(危旧房屋改造项目分表!AG$6:$AG$353="否")*(危旧房屋改造项目分表!$O$6:$O$353="维修加固")*(危旧房屋改造项目分表!$V$6:$V$353&gt;=11%)*(危旧房屋改造项目分表!$V$6:$V$353&lt;=30%)*危旧房屋改造项目分表!$AF$6:$AF$353),"")</f>
        <v>0</v>
      </c>
      <c r="M11" s="130">
        <f>IFERROR(SUMPRODUCT((危旧房屋改造项目分表!$AG$6:AH$353="是")*(危旧房屋改造项目分表!$O$6:$O$353="维修加固")*(危旧房屋改造项目分表!$V$6:$V$353&gt;=11%)*(危旧房屋改造项目分表!$V$6:$V$353&lt;=30%)*危旧房屋改造项目分表!$AF$6:$AF$353),"")</f>
        <v>12</v>
      </c>
      <c r="N11" s="130">
        <f>SUM($D$11:$M$11)</f>
        <v>12</v>
      </c>
      <c r="O11" s="149">
        <f>IF(ISERROR(N11/$N$20),"",N11/$N$20)</f>
        <v>0.0645161290322581</v>
      </c>
    </row>
    <row r="12" ht="14.85" customHeight="1" spans="1:15">
      <c r="A12" s="137"/>
      <c r="B12" s="140"/>
      <c r="C12" s="129" t="s">
        <v>18</v>
      </c>
      <c r="D12" s="130">
        <f>IFERROR(SUMPRODUCT((危旧房屋改造项目分表!$B$6:$B$353=$D$3)*(危旧房屋改造项目分表!AG$6:$AG$353="否")*(危旧房屋改造项目分表!$O$6:$O$353="维修加固")*(危旧房屋改造项目分表!$V$6:$V$353&gt;=11%)*(危旧房屋改造项目分表!$V$6:$V$353&lt;=30%)*危旧房屋改造项目分表!$K$6:$K$353),"")</f>
        <v>0</v>
      </c>
      <c r="E12" s="130">
        <f>IFERROR(SUMPRODUCT((危旧房屋改造项目分表!$B$6:$B$353=$E$3)*(危旧房屋改造项目分表!AG$6:$AG$353="否")*(危旧房屋改造项目分表!$O$6:$O$353="维修加固")*(危旧房屋改造项目分表!$V$6:$V$353&gt;=11%)*(危旧房屋改造项目分表!$V$6:$V$353&lt;=30%)*危旧房屋改造项目分表!$K$6:$K$353),"")</f>
        <v>0</v>
      </c>
      <c r="F12" s="130">
        <f>IFERROR(SUMPRODUCT((危旧房屋改造项目分表!$B$6:$B$353=$F$3)*(危旧房屋改造项目分表!AG$6:$AG$353="否")*(危旧房屋改造项目分表!$O$6:$O$353="维修加固")*(危旧房屋改造项目分表!$V$6:$V$353&gt;=11%)*(危旧房屋改造项目分表!$V$6:$V$353&lt;=30%)*危旧房屋改造项目分表!$K$6:$K$353),"")</f>
        <v>0</v>
      </c>
      <c r="G12" s="130">
        <f>IFERROR(SUMPRODUCT((危旧房屋改造项目分表!$B$6:$B$353=$G$3)*(危旧房屋改造项目分表!AG$6:$AG$353="否")*(危旧房屋改造项目分表!$O$6:$O$353="维修加固")*(危旧房屋改造项目分表!$V$6:$V$353&gt;=11%)*(危旧房屋改造项目分表!$V$6:$V$353&lt;=30%)*危旧房屋改造项目分表!$K$6:$K$353),"")</f>
        <v>0</v>
      </c>
      <c r="H12" s="130">
        <f>IFERROR(SUMPRODUCT((危旧房屋改造项目分表!$B$6:$B$353=$H$3)*(危旧房屋改造项目分表!AG$6:$AG$353="否")*(危旧房屋改造项目分表!$O$6:$O$353="维修加固")*(危旧房屋改造项目分表!$V$6:$V$353&gt;=11%)*(危旧房屋改造项目分表!$V$6:$V$353&lt;=30%)*危旧房屋改造项目分表!$K$6:$K$353),"")</f>
        <v>0</v>
      </c>
      <c r="I12" s="130">
        <f>IFERROR(SUMPRODUCT((危旧房屋改造项目分表!$B$6:$B$353=$I$3)*(危旧房屋改造项目分表!AG$6:$AG$353="否")*(危旧房屋改造项目分表!$O$6:$O$353="维修加固")*(危旧房屋改造项目分表!$V$6:$V$353&gt;=11%)*(危旧房屋改造项目分表!$V$6:$V$353&lt;=30%)*危旧房屋改造项目分表!$K$6:$K$353),"")</f>
        <v>0</v>
      </c>
      <c r="J12" s="130">
        <f>IFERROR(SUMPRODUCT((危旧房屋改造项目分表!$B$6:$B$353=$J$3)*(危旧房屋改造项目分表!AG$6:$AG$353="否")*(危旧房屋改造项目分表!$O$6:$O$353="维修加固")*(危旧房屋改造项目分表!$V$6:$V$353&gt;=11%)*(危旧房屋改造项目分表!$V$6:$V$353&lt;=30%)*危旧房屋改造项目分表!$K$6:$K$353),"")</f>
        <v>0</v>
      </c>
      <c r="K12" s="130">
        <f>IFERROR(SUMPRODUCT((危旧房屋改造项目分表!$B$6:$B$353=$K$3)*(危旧房屋改造项目分表!AG$6:$AG$353="否")*(危旧房屋改造项目分表!$O$6:$O$353="维修加固")*(危旧房屋改造项目分表!$V$6:$V$353&gt;=11%)*(危旧房屋改造项目分表!$V$6:$V$353&lt;=30%)*危旧房屋改造项目分表!$K$6:$K$353),"")</f>
        <v>0</v>
      </c>
      <c r="L12" s="130">
        <f>IFERROR(SUMPRODUCT((危旧房屋改造项目分表!$B$6:$B$353=$L$3)*(危旧房屋改造项目分表!AG$6:$AG$353="否")*(危旧房屋改造项目分表!$O$6:$O$353="维修加固")*(危旧房屋改造项目分表!$V$6:$V$353&gt;=11%)*(危旧房屋改造项目分表!$V$6:$V$353&lt;=30%)*危旧房屋改造项目分表!$K$6:$K$353),"")</f>
        <v>0</v>
      </c>
      <c r="M12" s="130">
        <f>IFERROR(SUMPRODUCT((危旧房屋改造项目分表!$AG$6:AH$353="是")*(危旧房屋改造项目分表!$O$6:$O$353="维修加固")*(危旧房屋改造项目分表!$V$6:$V$353&gt;=11%)*(危旧房屋改造项目分表!$V$6:$V$353&lt;=30%)*危旧房屋改造项目分表!$K$6:$K$353),"")</f>
        <v>45</v>
      </c>
      <c r="N12" s="130">
        <f>SUM($D$12:$M$12)</f>
        <v>45</v>
      </c>
      <c r="O12" s="149">
        <f>IF(ISERROR(N12/$N$21),"",N12/$N$21)</f>
        <v>0.0290135396518375</v>
      </c>
    </row>
    <row r="13" ht="14.85" customHeight="1" spans="1:15">
      <c r="A13" s="137"/>
      <c r="B13" s="140"/>
      <c r="C13" s="129" t="s">
        <v>19</v>
      </c>
      <c r="D13" s="130">
        <f>IFERROR(SUMPRODUCT((危旧房屋改造项目分表!$B$6:$B$353=$D$3)*(危旧房屋改造项目分表!AG$6:$AG$353="否")*(危旧房屋改造项目分表!$O$6:$O$353="维修加固")*(危旧房屋改造项目分表!$V$6:$V$353&gt;=11%)*(危旧房屋改造项目分表!$V$6:$V$353&lt;=30%)*危旧房屋改造项目分表!$L$6:$L$353),"")</f>
        <v>0</v>
      </c>
      <c r="E13" s="130">
        <f>IFERROR(SUMPRODUCT((危旧房屋改造项目分表!$B$6:$B$353=$E$3)*(危旧房屋改造项目分表!AG$6:$AG$353="否")*(危旧房屋改造项目分表!$O$6:$O$353="维修加固")*(危旧房屋改造项目分表!$V$6:$V$353&gt;=11%)*(危旧房屋改造项目分表!$V$6:$V$353&lt;=30%)*危旧房屋改造项目分表!$L$6:$L$353),"")</f>
        <v>0</v>
      </c>
      <c r="F13" s="130">
        <f>IFERROR(SUMPRODUCT((危旧房屋改造项目分表!$B$6:$B$353=$F$3)*(危旧房屋改造项目分表!AG$6:$AG$353="否")*(危旧房屋改造项目分表!$O$6:$O$353="维修加固")*(危旧房屋改造项目分表!$V$6:$V$353&gt;=11%)*(危旧房屋改造项目分表!$V$6:$V$353&lt;=30%)*危旧房屋改造项目分表!$L$6:$L$353),"")</f>
        <v>0</v>
      </c>
      <c r="G13" s="130">
        <f>IFERROR(SUMPRODUCT((危旧房屋改造项目分表!$B$6:$B$353=$G$3)*(危旧房屋改造项目分表!AG$6:$AG$353="否")*(危旧房屋改造项目分表!$O$6:$O$353="维修加固")*(危旧房屋改造项目分表!$V$6:$V$353&gt;=11%)*(危旧房屋改造项目分表!$V$6:$V$353&lt;=30%)*危旧房屋改造项目分表!$L$6:$L$353),"")</f>
        <v>0</v>
      </c>
      <c r="H13" s="130">
        <f>IFERROR(SUMPRODUCT((危旧房屋改造项目分表!$B$6:$B$353=$H$3)*(危旧房屋改造项目分表!AG$6:$AG$353="否")*(危旧房屋改造项目分表!$O$6:$O$353="维修加固")*(危旧房屋改造项目分表!$V$6:$V$353&gt;=11%)*(危旧房屋改造项目分表!$V$6:$V$353&lt;=30%)*危旧房屋改造项目分表!$L$6:$L$353),"")</f>
        <v>0</v>
      </c>
      <c r="I13" s="130">
        <f>IFERROR(SUMPRODUCT((危旧房屋改造项目分表!$B$6:$B$353=$I$3)*(危旧房屋改造项目分表!AG$6:$AG$353="否")*(危旧房屋改造项目分表!$O$6:$O$353="维修加固")*(危旧房屋改造项目分表!$V$6:$V$353&gt;=11%)*(危旧房屋改造项目分表!$V$6:$V$353&lt;=30%)*危旧房屋改造项目分表!$L$6:$L$353),"")</f>
        <v>0</v>
      </c>
      <c r="J13" s="130">
        <f>IFERROR(SUMPRODUCT((危旧房屋改造项目分表!$B$6:$B$353=$J$3)*(危旧房屋改造项目分表!AG$6:$AG$353="否")*(危旧房屋改造项目分表!$O$6:$O$353="维修加固")*(危旧房屋改造项目分表!$V$6:$V$353&gt;=11%)*(危旧房屋改造项目分表!$V$6:$V$353&lt;=30%)*危旧房屋改造项目分表!$L$6:$L$353),"")</f>
        <v>0</v>
      </c>
      <c r="K13" s="130">
        <f>IFERROR(SUMPRODUCT((危旧房屋改造项目分表!$B$6:$B$353=$K$3)*(危旧房屋改造项目分表!AG$6:$AG$353="否")*(危旧房屋改造项目分表!$O$6:$O$353="维修加固")*(危旧房屋改造项目分表!$V$6:$V$353&gt;=11%)*(危旧房屋改造项目分表!$V$6:$V$353&lt;=30%)*危旧房屋改造项目分表!$L$6:$L$353),"")</f>
        <v>0</v>
      </c>
      <c r="L13" s="130">
        <f>IFERROR(SUMPRODUCT((危旧房屋改造项目分表!$B$6:$B$353=$L$3)*(危旧房屋改造项目分表!AG$6:$AG$353="否")*(危旧房屋改造项目分表!$O$6:$O$353="维修加固")*(危旧房屋改造项目分表!$V$6:$V$353&gt;=11%)*(危旧房屋改造项目分表!$V$6:$V$353&lt;=30%)*危旧房屋改造项目分表!$L$6:$L$353),"")</f>
        <v>0</v>
      </c>
      <c r="M13" s="130">
        <f>IFERROR(SUMPRODUCT((危旧房屋改造项目分表!$AG$6:AH$353="是")*(危旧房屋改造项目分表!$O$6:$O$353="维修加固")*(危旧房屋改造项目分表!$V$6:$V$353&gt;=11%)*(危旧房屋改造项目分表!$V$6:$V$353&lt;=30%)*危旧房屋改造项目分表!$L$6:$L$353),"")</f>
        <v>2040.04</v>
      </c>
      <c r="N13" s="130">
        <f>SUM($D$13:$M$13)</f>
        <v>2040.04</v>
      </c>
      <c r="O13" s="149">
        <f>IF(ISERROR(N13/$N$22),"",N13/$N$22)</f>
        <v>0.0248809336509249</v>
      </c>
    </row>
    <row r="14" ht="14.85" customHeight="1" spans="1:15">
      <c r="A14" s="137"/>
      <c r="B14" s="140" t="s">
        <v>24</v>
      </c>
      <c r="C14" s="129" t="s">
        <v>17</v>
      </c>
      <c r="D14" s="130">
        <f>IFERROR(SUMPRODUCT((危旧房屋改造项目分表!$B$6:$B$353=$D$3)*(危旧房屋改造项目分表!AG$6:$AG$353="否")*(危旧房屋改造项目分表!$O$6:$O$353="维修加固")*(危旧房屋改造项目分表!$V$6:$V$353&gt;=31%)*(危旧房屋改造项目分表!$V$6:$V$353&lt;=89%)*危旧房屋改造项目分表!$AF$6:$AF$353),"")</f>
        <v>0</v>
      </c>
      <c r="E14" s="130">
        <f>IFERROR(SUMPRODUCT((危旧房屋改造项目分表!$B$6:$B$353=$E$3)*(危旧房屋改造项目分表!AG$6:$AG$353="否")*(危旧房屋改造项目分表!$O$6:$O$353="维修加固")*(危旧房屋改造项目分表!$V$6:$V$353&gt;=31%)*(危旧房屋改造项目分表!$V$6:$V$353&lt;=89%)*危旧房屋改造项目分表!$AF$6:$AF$353),"")</f>
        <v>0</v>
      </c>
      <c r="F14" s="130">
        <f>IFERROR(SUMPRODUCT((危旧房屋改造项目分表!$B$6:$B$353=$F$3)*(危旧房屋改造项目分表!AG$6:$AG$353="否")*(危旧房屋改造项目分表!$O$6:$O$353="维修加固")*(危旧房屋改造项目分表!$V$6:$V$353&gt;=31%)*(危旧房屋改造项目分表!$V$6:$V$353&lt;=89%)*危旧房屋改造项目分表!$AF$6:$AF$353),"")</f>
        <v>0</v>
      </c>
      <c r="G14" s="130">
        <f>IFERROR(SUMPRODUCT((危旧房屋改造项目分表!$B$6:$B$353=$G$3)*(危旧房屋改造项目分表!AG$6:$AG$353="否")*(危旧房屋改造项目分表!$O$6:$O$353="维修加固")*(危旧房屋改造项目分表!$V$6:$V$353&gt;=31%)*(危旧房屋改造项目分表!$V$6:$V$353&lt;=89%)*危旧房屋改造项目分表!$AF$6:$AF$353),"")</f>
        <v>0</v>
      </c>
      <c r="H14" s="130">
        <f>IFERROR(SUMPRODUCT((危旧房屋改造项目分表!$B$6:$B$353=$H$3)*(危旧房屋改造项目分表!AG$6:$AG$353="否")*(危旧房屋改造项目分表!$O$6:$O$353="维修加固")*(危旧房屋改造项目分表!$V$6:$V$353&gt;=31%)*(危旧房屋改造项目分表!$V$6:$V$353&lt;=89%)*危旧房屋改造项目分表!$AF$6:$AF$353),"")</f>
        <v>0</v>
      </c>
      <c r="I14" s="130">
        <f>IFERROR(SUMPRODUCT((危旧房屋改造项目分表!$B$6:$B$353=$I$3)*(危旧房屋改造项目分表!AG$6:$AG$353="否")*(危旧房屋改造项目分表!$O$6:$O$353="维修加固")*(危旧房屋改造项目分表!$V$6:$V$353&gt;=31%)*(危旧房屋改造项目分表!$V$6:$V$353&lt;=89%)*危旧房屋改造项目分表!$AF$6:$AF$353),"")</f>
        <v>0</v>
      </c>
      <c r="J14" s="130">
        <f>IFERROR(SUMPRODUCT((危旧房屋改造项目分表!$B$6:$B$353=$J$3)*(危旧房屋改造项目分表!AG$6:$AG$353="否")*(危旧房屋改造项目分表!$O$6:$O$353="维修加固")*(危旧房屋改造项目分表!$V$6:$V$353&gt;=31%)*(危旧房屋改造项目分表!$V$6:$V$353&lt;=89%)*危旧房屋改造项目分表!$AF$6:$AF$353),"")</f>
        <v>0</v>
      </c>
      <c r="K14" s="130">
        <f>IFERROR(SUMPRODUCT((危旧房屋改造项目分表!$B$6:$B$353=$K$3)*(危旧房屋改造项目分表!AG$6:$AG$353="否")*(危旧房屋改造项目分表!$O$6:$O$353="维修加固")*(危旧房屋改造项目分表!$V$6:$V$353&gt;=31%)*(危旧房屋改造项目分表!$V$6:$V$353&lt;=89%)*危旧房屋改造项目分表!$AF$6:$AF$353),"")</f>
        <v>0</v>
      </c>
      <c r="L14" s="130">
        <f>IFERROR(SUMPRODUCT((危旧房屋改造项目分表!$B$6:$B$353=$L$3)*(危旧房屋改造项目分表!AG$6:$AG$353="否")*(危旧房屋改造项目分表!$O$6:$O$353="维修加固")*(危旧房屋改造项目分表!$V$6:$V$353&gt;=31%)*(危旧房屋改造项目分表!$V$6:$V$353&lt;=89%)*危旧房屋改造项目分表!$AF$6:$AF$353),"")</f>
        <v>0</v>
      </c>
      <c r="M14" s="130">
        <f>IFERROR(SUMPRODUCT((危旧房屋改造项目分表!$AG$6:AH$353="是")*(危旧房屋改造项目分表!$O$6:$O$353="维修加固")*(危旧房屋改造项目分表!$V$6:$V$353&gt;=31%)*(危旧房屋改造项目分表!$V$6:$V$353&lt;=89%)*危旧房屋改造项目分表!$AF$6:$AF$353),"")</f>
        <v>4</v>
      </c>
      <c r="N14" s="130">
        <f>SUM($D$14:$M$14)</f>
        <v>4</v>
      </c>
      <c r="O14" s="149">
        <f>IF(ISERROR(N14/$N$20),"",N14/$N$20)</f>
        <v>0.021505376344086</v>
      </c>
    </row>
    <row r="15" ht="14.85" customHeight="1" spans="1:15">
      <c r="A15" s="137"/>
      <c r="B15" s="140"/>
      <c r="C15" s="129" t="s">
        <v>18</v>
      </c>
      <c r="D15" s="130">
        <f>IFERROR(SUMPRODUCT((危旧房屋改造项目分表!$B$6:$B$353=$D$3)*(危旧房屋改造项目分表!AG$6:$AG$353="否")*(危旧房屋改造项目分表!$O$6:$O$353="维修加固")*(危旧房屋改造项目分表!$V$6:$V$353&gt;=31%)*(危旧房屋改造项目分表!$V$6:$V$353&lt;=89%)*危旧房屋改造项目分表!$K$6:$K$353),"")</f>
        <v>0</v>
      </c>
      <c r="E15" s="130">
        <f>IFERROR(SUMPRODUCT((危旧房屋改造项目分表!$B$6:$B$353=$E$3)*(危旧房屋改造项目分表!AG$6:$AG$353="否")*(危旧房屋改造项目分表!$O$6:$O$353="维修加固")*(危旧房屋改造项目分表!$V$6:$V$353&gt;=31%)*(危旧房屋改造项目分表!$V$6:$V$353&lt;=89%)*危旧房屋改造项目分表!$K$6:$K$353),"")</f>
        <v>0</v>
      </c>
      <c r="F15" s="130">
        <f>IFERROR(SUMPRODUCT((危旧房屋改造项目分表!$B$6:$B$353=$F$3)*(危旧房屋改造项目分表!AG$6:$AG$353="否")*(危旧房屋改造项目分表!$O$6:$O$353="维修加固")*(危旧房屋改造项目分表!$V$6:$V$353&gt;=31%)*(危旧房屋改造项目分表!$V$6:$V$353&lt;=89%)*危旧房屋改造项目分表!$K$6:$K$353),"")</f>
        <v>0</v>
      </c>
      <c r="G15" s="130">
        <f>IFERROR(SUMPRODUCT((危旧房屋改造项目分表!$B$6:$B$353=$G$3)*(危旧房屋改造项目分表!AG$6:$AG$353="否")*(危旧房屋改造项目分表!$O$6:$O$353="维修加固")*(危旧房屋改造项目分表!$V$6:$V$353&gt;=31%)*(危旧房屋改造项目分表!$V$6:$V$353&lt;=89%)*危旧房屋改造项目分表!$K$6:$K$353),"")</f>
        <v>0</v>
      </c>
      <c r="H15" s="130">
        <f>IFERROR(SUMPRODUCT((危旧房屋改造项目分表!$B$6:$B$353=$H$3)*(危旧房屋改造项目分表!AG$6:$AG$353="否")*(危旧房屋改造项目分表!$O$6:$O$353="维修加固")*(危旧房屋改造项目分表!$V$6:$V$353&gt;=31%)*(危旧房屋改造项目分表!$V$6:$V$353&lt;=89%)*危旧房屋改造项目分表!$K$6:$K$353),"")</f>
        <v>0</v>
      </c>
      <c r="I15" s="130">
        <f>IFERROR(SUMPRODUCT((危旧房屋改造项目分表!$B$6:$B$353=$I$3)*(危旧房屋改造项目分表!AG$6:$AG$353="否")*(危旧房屋改造项目分表!$O$6:$O$353="维修加固")*(危旧房屋改造项目分表!$V$6:$V$353&gt;=31%)*(危旧房屋改造项目分表!$V$6:$V$353&lt;=89%)*危旧房屋改造项目分表!$K$6:$K$353),"")</f>
        <v>0</v>
      </c>
      <c r="J15" s="130">
        <f>IFERROR(SUMPRODUCT((危旧房屋改造项目分表!$B$6:$B$353=$J$3)*(危旧房屋改造项目分表!AG$6:$AG$353="否")*(危旧房屋改造项目分表!$O$6:$O$353="维修加固")*(危旧房屋改造项目分表!$V$6:$V$353&gt;=31%)*(危旧房屋改造项目分表!$V$6:$V$353&lt;=89%)*危旧房屋改造项目分表!$K$6:$K$353),"")</f>
        <v>0</v>
      </c>
      <c r="K15" s="130">
        <f>IFERROR(SUMPRODUCT((危旧房屋改造项目分表!$B$6:$B$353=$K$3)*(危旧房屋改造项目分表!AG$6:$AG$353="否")*(危旧房屋改造项目分表!$O$6:$O$353="维修加固")*(危旧房屋改造项目分表!$V$6:$V$353&gt;=31%)*(危旧房屋改造项目分表!$V$6:$V$353&lt;=89%)*危旧房屋改造项目分表!$K$6:$K$353),"")</f>
        <v>0</v>
      </c>
      <c r="L15" s="130">
        <f>IFERROR(SUMPRODUCT((危旧房屋改造项目分表!$B$6:$B$353=$L$3)*(危旧房屋改造项目分表!AG$6:$AG$353="否")*(危旧房屋改造项目分表!$O$6:$O$353="维修加固")*(危旧房屋改造项目分表!$V$6:$V$353&gt;=31%)*(危旧房屋改造项目分表!$V$6:$V$353&lt;=89%)*危旧房屋改造项目分表!$K$6:$K$353),"")</f>
        <v>0</v>
      </c>
      <c r="M15" s="130">
        <f>IFERROR(SUMPRODUCT((危旧房屋改造项目分表!$AG$6:AH$353="是")*(危旧房屋改造项目分表!$O$6:$O$353="维修加固")*(危旧房屋改造项目分表!$V$6:$V$353&gt;=31%)*(危旧房屋改造项目分表!$V$6:$V$353&lt;=89%)*危旧房屋改造项目分表!$K$6:$K$353),"")</f>
        <v>14</v>
      </c>
      <c r="N15" s="130">
        <f>SUM($D$15:$M$15)</f>
        <v>14</v>
      </c>
      <c r="O15" s="149">
        <f>IF(ISERROR(N15/$N$21),"",N15/$N$21)</f>
        <v>0.00902643455834945</v>
      </c>
    </row>
    <row r="16" ht="14.85" customHeight="1" spans="1:15">
      <c r="A16" s="137"/>
      <c r="B16" s="140"/>
      <c r="C16" s="129" t="s">
        <v>19</v>
      </c>
      <c r="D16" s="130">
        <f>IFERROR(SUMPRODUCT((危旧房屋改造项目分表!$B$6:$B$353=$D$3)*(危旧房屋改造项目分表!AG$6:$AG$353="否")*(危旧房屋改造项目分表!$O$6:$O$353="维修加固")*(危旧房屋改造项目分表!$V$6:$V$353&gt;=31%)*(危旧房屋改造项目分表!$V$6:$V$353&lt;=89%)*危旧房屋改造项目分表!$L$6:$L$353),"")</f>
        <v>0</v>
      </c>
      <c r="E16" s="130">
        <f>IFERROR(SUMPRODUCT((危旧房屋改造项目分表!$B$6:$B$353=$E$3)*(危旧房屋改造项目分表!AG$6:$AG$353="否")*(危旧房屋改造项目分表!$O$6:$O$353="维修加固")*(危旧房屋改造项目分表!$V$6:$V$353&gt;=31%)*(危旧房屋改造项目分表!$V$6:$V$353&lt;=89%)*危旧房屋改造项目分表!$L$6:$L$353),"")</f>
        <v>0</v>
      </c>
      <c r="F16" s="130">
        <f>IFERROR(SUMPRODUCT((危旧房屋改造项目分表!$B$6:$B$353=$F$3)*(危旧房屋改造项目分表!AG$6:$AG$353="否")*(危旧房屋改造项目分表!$O$6:$O$353="维修加固")*(危旧房屋改造项目分表!$V$6:$V$353&gt;=31%)*(危旧房屋改造项目分表!$V$6:$V$353&lt;=89%)*危旧房屋改造项目分表!$L$6:$L$353),"")</f>
        <v>0</v>
      </c>
      <c r="G16" s="130">
        <f>IFERROR(SUMPRODUCT((危旧房屋改造项目分表!$B$6:$B$353=$G$3)*(危旧房屋改造项目分表!AG$6:$AG$353="否")*(危旧房屋改造项目分表!$O$6:$O$353="维修加固")*(危旧房屋改造项目分表!$V$6:$V$353&gt;=31%)*(危旧房屋改造项目分表!$V$6:$V$353&lt;=89%)*危旧房屋改造项目分表!$L$6:$L$353),"")</f>
        <v>0</v>
      </c>
      <c r="H16" s="130">
        <f>IFERROR(SUMPRODUCT((危旧房屋改造项目分表!$B$6:$B$353=$H$3)*(危旧房屋改造项目分表!AG$6:$AG$353="否")*(危旧房屋改造项目分表!$O$6:$O$353="维修加固")*(危旧房屋改造项目分表!$V$6:$V$353&gt;=31%)*(危旧房屋改造项目分表!$V$6:$V$353&lt;=89%)*危旧房屋改造项目分表!$L$6:$L$353),"")</f>
        <v>0</v>
      </c>
      <c r="I16" s="130">
        <f>IFERROR(SUMPRODUCT((危旧房屋改造项目分表!$B$6:$B$353=$I$3)*(危旧房屋改造项目分表!AG$6:$AG$353="否")*(危旧房屋改造项目分表!$O$6:$O$353="维修加固")*(危旧房屋改造项目分表!$V$6:$V$353&gt;=31%)*(危旧房屋改造项目分表!$V$6:$V$353&lt;=89%)*危旧房屋改造项目分表!$L$6:$L$353),"")</f>
        <v>0</v>
      </c>
      <c r="J16" s="130">
        <f>IFERROR(SUMPRODUCT((危旧房屋改造项目分表!$B$6:$B$353=$J$3)*(危旧房屋改造项目分表!AG$6:$AG$353="否")*(危旧房屋改造项目分表!$O$6:$O$353="维修加固")*(危旧房屋改造项目分表!$V$6:$V$353&gt;=31%)*(危旧房屋改造项目分表!$V$6:$V$353&lt;=89%)*危旧房屋改造项目分表!$L$6:$L$353),"")</f>
        <v>0</v>
      </c>
      <c r="K16" s="130">
        <f>IFERROR(SUMPRODUCT((危旧房屋改造项目分表!$B$6:$B$353=$K$3)*(危旧房屋改造项目分表!AG$6:$AG$353="否")*(危旧房屋改造项目分表!$O$6:$O$353="维修加固")*(危旧房屋改造项目分表!$V$6:$V$353&gt;=31%)*(危旧房屋改造项目分表!$V$6:$V$353&lt;=89%)*危旧房屋改造项目分表!$L$6:$L$353),"")</f>
        <v>0</v>
      </c>
      <c r="L16" s="130">
        <f>IFERROR(SUMPRODUCT((危旧房屋改造项目分表!$B$6:$B$353=$L$3)*(危旧房屋改造项目分表!AG$6:$AG$353="否")*(危旧房屋改造项目分表!$O$6:$O$353="维修加固")*(危旧房屋改造项目分表!$V$6:$V$353&gt;=31%)*(危旧房屋改造项目分表!$V$6:$V$353&lt;=89%)*危旧房屋改造项目分表!$L$6:$L$353),"")</f>
        <v>0</v>
      </c>
      <c r="M16" s="130">
        <f>IFERROR(SUMPRODUCT((危旧房屋改造项目分表!$AG$6:AH$353="是")*(危旧房屋改造项目分表!$O$6:$O$353="维修加固")*(危旧房屋改造项目分表!$V$6:$V$353&gt;=31%)*(危旧房屋改造项目分表!$V$6:$V$353&lt;=89%)*危旧房屋改造项目分表!$L$6:$L$353),"")</f>
        <v>384.5</v>
      </c>
      <c r="N16" s="130">
        <f>SUM($D$16:$M$16)</f>
        <v>384.5</v>
      </c>
      <c r="O16" s="149">
        <f>IF(ISERROR(N16/$N$22),"",N16/$N$22)</f>
        <v>0.00468947618124185</v>
      </c>
    </row>
    <row r="17" ht="14.85" customHeight="1" spans="1:15">
      <c r="A17" s="137"/>
      <c r="B17" s="140" t="s">
        <v>25</v>
      </c>
      <c r="C17" s="129" t="s">
        <v>17</v>
      </c>
      <c r="D17" s="130">
        <f>IFERROR(SUMPRODUCT((危旧房屋改造项目分表!$B$6:$B$353=$D$3)*(危旧房屋改造项目分表!AG$6:$AG$353="否")*(危旧房屋改造项目分表!$O$6:$O$353="维修加固")*(危旧房屋改造项目分表!$V$6:$V$353&gt;=90%)*危旧房屋改造项目分表!$AF$6:$AF$353),"")</f>
        <v>0</v>
      </c>
      <c r="E17" s="130">
        <f>IFERROR(SUMPRODUCT((危旧房屋改造项目分表!$B$6:$B$353=$E$3)*(危旧房屋改造项目分表!AG$6:$AG$353="否")*(危旧房屋改造项目分表!$O$6:$O$353="维修加固")*(危旧房屋改造项目分表!$V$6:$V$353&gt;=90%)*危旧房屋改造项目分表!$AF$6:$AF$353),"")</f>
        <v>0</v>
      </c>
      <c r="F17" s="130">
        <f>IFERROR(SUMPRODUCT((危旧房屋改造项目分表!$B$6:$B$353=$F$3)*(危旧房屋改造项目分表!AG$6:$AG$353="否")*(危旧房屋改造项目分表!$O$6:$O$353="维修加固")*(危旧房屋改造项目分表!$V$6:$V$353&gt;=90%)*危旧房屋改造项目分表!$AF$6:$AF$353),"")</f>
        <v>0</v>
      </c>
      <c r="G17" s="130">
        <f>IFERROR(SUMPRODUCT((危旧房屋改造项目分表!$B$6:$B$353=$G$3)*(危旧房屋改造项目分表!AG$6:$AG$353="否")*(危旧房屋改造项目分表!$O$6:$O$353="维修加固")*(危旧房屋改造项目分表!$V$6:$V$353&gt;=90%)*危旧房屋改造项目分表!$AF$6:$AF$353),"")</f>
        <v>0</v>
      </c>
      <c r="H17" s="130">
        <f>IFERROR(SUMPRODUCT((危旧房屋改造项目分表!$B$6:$B$353=$H$3)*(危旧房屋改造项目分表!AG$6:$AG$353="否")*(危旧房屋改造项目分表!$O$6:$O$353="维修加固")*(危旧房屋改造项目分表!$V$6:$V$353&gt;=90%)*危旧房屋改造项目分表!$AF$6:$AF$353),"")</f>
        <v>0</v>
      </c>
      <c r="I17" s="130">
        <f>IFERROR(SUMPRODUCT((危旧房屋改造项目分表!$B$6:$B$353=$I$3)*(危旧房屋改造项目分表!AG$6:$AG$353="否")*(危旧房屋改造项目分表!$O$6:$O$353="维修加固")*(危旧房屋改造项目分表!$V$6:$V$353&gt;=90%)*危旧房屋改造项目分表!$AF$6:$AF$353),"")</f>
        <v>0</v>
      </c>
      <c r="J17" s="130">
        <f>IFERROR(SUMPRODUCT((危旧房屋改造项目分表!$B$6:$B$353=$J$3)*(危旧房屋改造项目分表!AG$6:$AG$353="否")*(危旧房屋改造项目分表!$O$6:$O$353="维修加固")*(危旧房屋改造项目分表!$V$6:$V$353&gt;=90%)*危旧房屋改造项目分表!$AF$6:$AF$353),"")</f>
        <v>0</v>
      </c>
      <c r="K17" s="130">
        <f>IFERROR(SUMPRODUCT((危旧房屋改造项目分表!$B$6:$B$353=$K$3)*(危旧房屋改造项目分表!AG$6:$AG$353="否")*(危旧房屋改造项目分表!$O$6:$O$353="维修加固")*(危旧房屋改造项目分表!$V$6:$V$353&gt;=90%)*危旧房屋改造项目分表!$AF$6:$AF$353),"")</f>
        <v>0</v>
      </c>
      <c r="L17" s="130">
        <f>IFERROR(SUMPRODUCT((危旧房屋改造项目分表!$B$6:$B$353=$L$3)*(危旧房屋改造项目分表!AG$6:$AG$353="否")*(危旧房屋改造项目分表!$O$6:$O$353="维修加固")*(危旧房屋改造项目分表!$V$6:$V$353&gt;=90%)*危旧房屋改造项目分表!$AF$6:$AF$353),"")</f>
        <v>0</v>
      </c>
      <c r="M17" s="130">
        <f>IFERROR(SUMPRODUCT((危旧房屋改造项目分表!$AG$6:AH$353="是")*(危旧房屋改造项目分表!$O$6:$O$353="维修加固")*(危旧房屋改造项目分表!$V$6:$V$353&gt;=90%)*危旧房屋改造项目分表!$AF$6:$AF$353),"")</f>
        <v>9</v>
      </c>
      <c r="N17" s="130">
        <f>SUM($D$17:$M$17)</f>
        <v>9</v>
      </c>
      <c r="O17" s="149">
        <f>IF(ISERROR(N17/$N$20),"",N17/$N$20)</f>
        <v>0.0483870967741935</v>
      </c>
    </row>
    <row r="18" ht="14.85" customHeight="1" spans="1:15">
      <c r="A18" s="137"/>
      <c r="B18" s="140"/>
      <c r="C18" s="129" t="s">
        <v>18</v>
      </c>
      <c r="D18" s="130">
        <f>IFERROR(SUMPRODUCT((危旧房屋改造项目分表!$B$6:$B$353=$D$3)*(危旧房屋改造项目分表!AG$6:$AG$353="否")*(危旧房屋改造项目分表!$O$6:$O$353="维修加固")*(危旧房屋改造项目分表!$V$6:$V$353&gt;=90%)*危旧房屋改造项目分表!$K$6:$K$353),"")</f>
        <v>0</v>
      </c>
      <c r="E18" s="130">
        <f>IFERROR(SUMPRODUCT((危旧房屋改造项目分表!$B$6:$B$353=$E$3)*(危旧房屋改造项目分表!AG$6:$AG$353="否")*(危旧房屋改造项目分表!$O$6:$O$353="维修加固")*(危旧房屋改造项目分表!$V$6:$V$353&gt;=90%)*危旧房屋改造项目分表!$K$6:$K$353),"")</f>
        <v>0</v>
      </c>
      <c r="F18" s="130">
        <f>IFERROR(SUMPRODUCT((危旧房屋改造项目分表!$B$6:$B$353=$F$3)*(危旧房屋改造项目分表!AG$6:$AG$353="否")*(危旧房屋改造项目分表!$O$6:$O$353="维修加固")*(危旧房屋改造项目分表!$V$6:$V$353&gt;=90%)*危旧房屋改造项目分表!$K$6:$K$353),"")</f>
        <v>0</v>
      </c>
      <c r="G18" s="130">
        <f>IFERROR(SUMPRODUCT((危旧房屋改造项目分表!$B$6:$B$353=$G$3)*(危旧房屋改造项目分表!AG$6:$AG$353="否")*(危旧房屋改造项目分表!$O$6:$O$353="维修加固")*(危旧房屋改造项目分表!$V$6:$V$353&gt;=90%)*危旧房屋改造项目分表!$K$6:$K$353),"")</f>
        <v>0</v>
      </c>
      <c r="H18" s="130">
        <f>IFERROR(SUMPRODUCT((危旧房屋改造项目分表!$B$6:$B$353=$H$3)*(危旧房屋改造项目分表!AG$6:$AG$353="否")*(危旧房屋改造项目分表!$O$6:$O$353="维修加固")*(危旧房屋改造项目分表!$V$6:$V$353&gt;=90%)*危旧房屋改造项目分表!$K$6:$K$353),"")</f>
        <v>0</v>
      </c>
      <c r="I18" s="130">
        <f>IFERROR(SUMPRODUCT((危旧房屋改造项目分表!$B$6:$B$353=$I$3)*(危旧房屋改造项目分表!AG$6:$AG$353="否")*(危旧房屋改造项目分表!$O$6:$O$353="维修加固")*(危旧房屋改造项目分表!$V$6:$V$353&gt;=90%)*危旧房屋改造项目分表!$K$6:$K$353),"")</f>
        <v>0</v>
      </c>
      <c r="J18" s="130">
        <f>IFERROR(SUMPRODUCT((危旧房屋改造项目分表!$B$6:$B$353=$J$3)*(危旧房屋改造项目分表!AG$6:$AG$353="否")*(危旧房屋改造项目分表!$O$6:$O$353="维修加固")*(危旧房屋改造项目分表!$V$6:$V$353&gt;=90%)*危旧房屋改造项目分表!$K$6:$K$353),"")</f>
        <v>0</v>
      </c>
      <c r="K18" s="130">
        <f>IFERROR(SUMPRODUCT((危旧房屋改造项目分表!$B$6:$B$353=$K$3)*(危旧房屋改造项目分表!AG$6:$AG$353="否")*(危旧房屋改造项目分表!$O$6:$O$353="维修加固")*(危旧房屋改造项目分表!$V$6:$V$353&gt;=90%)*危旧房屋改造项目分表!$K$6:$K$353),"")</f>
        <v>0</v>
      </c>
      <c r="L18" s="130">
        <f>IFERROR(SUMPRODUCT((危旧房屋改造项目分表!$B$6:$B$353=$L$3)*(危旧房屋改造项目分表!AG$6:$AG$353="否")*(危旧房屋改造项目分表!$O$6:$O$353="维修加固")*(危旧房屋改造项目分表!$V$6:$V$353&gt;=90%)*危旧房屋改造项目分表!$K$6:$K$353),"")</f>
        <v>0</v>
      </c>
      <c r="M18" s="130">
        <f>IFERROR(SUMPRODUCT((危旧房屋改造项目分表!$AG$6:AH$353="是")*(危旧房屋改造项目分表!$O$6:$O$353="维修加固")*(危旧房屋改造项目分表!$V$6:$V$353&gt;=90%)*危旧房屋改造项目分表!$K$6:$K$353),"")</f>
        <v>12</v>
      </c>
      <c r="N18" s="130">
        <f>SUM($D$18:$M$18)</f>
        <v>12</v>
      </c>
      <c r="O18" s="149">
        <f>IF(ISERROR(N18/$N$21),"",N18/$N$21)</f>
        <v>0.00773694390715667</v>
      </c>
    </row>
    <row r="19" ht="14.85" customHeight="1" spans="1:15">
      <c r="A19" s="137"/>
      <c r="B19" s="140"/>
      <c r="C19" s="129" t="s">
        <v>19</v>
      </c>
      <c r="D19" s="130">
        <f>IFERROR(SUMPRODUCT((危旧房屋改造项目分表!$B$6:$B$353=$D$3)*(危旧房屋改造项目分表!AG$6:$AG$353="否")*(危旧房屋改造项目分表!$O$6:$O$353="维修加固")*(危旧房屋改造项目分表!$V$6:$V$353&gt;=90%)*危旧房屋改造项目分表!$L$6:$L$353),"")</f>
        <v>0</v>
      </c>
      <c r="E19" s="130">
        <f>IFERROR(SUMPRODUCT((危旧房屋改造项目分表!$B$6:$B$353=$E$3)*(危旧房屋改造项目分表!AG$6:$AG$353="否")*(危旧房屋改造项目分表!$O$6:$O$353="维修加固")*(危旧房屋改造项目分表!$V$6:$V$353&gt;=90%)*危旧房屋改造项目分表!$L$6:$L$353),"")</f>
        <v>0</v>
      </c>
      <c r="F19" s="130">
        <f>IFERROR(SUMPRODUCT((危旧房屋改造项目分表!$B$6:$B$353=$F$3)*(危旧房屋改造项目分表!AG$6:$AG$353="否")*(危旧房屋改造项目分表!$O$6:$O$353="维修加固")*(危旧房屋改造项目分表!$V$6:$V$353&gt;=90%)*危旧房屋改造项目分表!$L$6:$L$353),"")</f>
        <v>0</v>
      </c>
      <c r="G19" s="130">
        <f>IFERROR(SUMPRODUCT((危旧房屋改造项目分表!$B$6:$B$353=$G$3)*(危旧房屋改造项目分表!AG$6:$AG$353="否")*(危旧房屋改造项目分表!$O$6:$O$353="维修加固")*(危旧房屋改造项目分表!$V$6:$V$353&gt;=90%)*危旧房屋改造项目分表!$L$6:$L$353),"")</f>
        <v>0</v>
      </c>
      <c r="H19" s="130">
        <f>IFERROR(SUMPRODUCT((危旧房屋改造项目分表!$B$6:$B$353=$H$3)*(危旧房屋改造项目分表!AG$6:$AG$353="否")*(危旧房屋改造项目分表!$O$6:$O$353="维修加固")*(危旧房屋改造项目分表!$V$6:$V$353&gt;=90%)*危旧房屋改造项目分表!$L$6:$L$353),"")</f>
        <v>0</v>
      </c>
      <c r="I19" s="130">
        <f>IFERROR(SUMPRODUCT((危旧房屋改造项目分表!$B$6:$B$353=$I$3)*(危旧房屋改造项目分表!AG$6:$AG$353="否")*(危旧房屋改造项目分表!$O$6:$O$353="维修加固")*(危旧房屋改造项目分表!$V$6:$V$353&gt;=90%)*危旧房屋改造项目分表!$L$6:$L$353),"")</f>
        <v>0</v>
      </c>
      <c r="J19" s="130">
        <f>IFERROR(SUMPRODUCT((危旧房屋改造项目分表!$B$6:$B$353=$J$3)*(危旧房屋改造项目分表!AG$6:$AG$353="否")*(危旧房屋改造项目分表!$O$6:$O$353="维修加固")*(危旧房屋改造项目分表!$V$6:$V$353&gt;=90%)*危旧房屋改造项目分表!$L$6:$L$353),"")</f>
        <v>0</v>
      </c>
      <c r="K19" s="130">
        <f>IFERROR(SUMPRODUCT((危旧房屋改造项目分表!$B$6:$B$353=$K$3)*(危旧房屋改造项目分表!AG$6:$AG$353="否")*(危旧房屋改造项目分表!$O$6:$O$353="维修加固")*(危旧房屋改造项目分表!$V$6:$V$353&gt;=90%)*危旧房屋改造项目分表!$L$6:$L$353),"")</f>
        <v>0</v>
      </c>
      <c r="L19" s="130">
        <f>IFERROR(SUMPRODUCT((危旧房屋改造项目分表!$B$6:$B$353=$L$3)*(危旧房屋改造项目分表!AG$6:$AG$353="否")*(危旧房屋改造项目分表!$O$6:$O$353="维修加固")*(危旧房屋改造项目分表!$V$6:$V$353&gt;=90%)*危旧房屋改造项目分表!$L$6:$L$353),"")</f>
        <v>0</v>
      </c>
      <c r="M19" s="130">
        <f>IFERROR(SUMPRODUCT((危旧房屋改造项目分表!$AG$6:AH$353="是")*(危旧房屋改造项目分表!$O$6:$O$353="维修加固")*(危旧房屋改造项目分表!$V$6:$V$353&gt;=90%)*危旧房屋改造项目分表!$L$6:$L$353),"")</f>
        <v>862.88</v>
      </c>
      <c r="N19" s="130">
        <f>SUM($D$19:$M$19)</f>
        <v>862.88</v>
      </c>
      <c r="O19" s="149">
        <f>IF(ISERROR(N19/$N$22),"",N19/$N$22)</f>
        <v>0.0105239407211183</v>
      </c>
    </row>
    <row r="20" ht="14.85" customHeight="1" spans="1:15">
      <c r="A20" s="137"/>
      <c r="B20" s="140" t="s">
        <v>26</v>
      </c>
      <c r="C20" s="129" t="s">
        <v>17</v>
      </c>
      <c r="D20" s="141">
        <f>$D$11+$D$14+$D$17+$D$8</f>
        <v>2</v>
      </c>
      <c r="E20" s="141">
        <f>$E$11+$E$14+$E$17+$E$8</f>
        <v>18</v>
      </c>
      <c r="F20" s="141">
        <f>$F$11+$F$14+$F$17+$F$8</f>
        <v>3</v>
      </c>
      <c r="G20" s="141">
        <f>$G$11+$G$14+$G$17+$G$8</f>
        <v>18</v>
      </c>
      <c r="H20" s="141">
        <f>$H$11+$H$14+$H$17+$H$8</f>
        <v>4</v>
      </c>
      <c r="I20" s="141">
        <f>$I$11+$I$14+$I$17+$I$8</f>
        <v>0</v>
      </c>
      <c r="J20" s="141">
        <f>$J$11+$J$14+$J$17+$J$8</f>
        <v>0</v>
      </c>
      <c r="K20" s="141">
        <f>$K$11+$K$14+$K$17+$K$8</f>
        <v>0</v>
      </c>
      <c r="L20" s="141">
        <f>$L$11+$L$14+$L$17+$L$8</f>
        <v>0</v>
      </c>
      <c r="M20" s="141">
        <f>$M$11+$M$14+$M$17+$M$8</f>
        <v>141</v>
      </c>
      <c r="N20" s="130">
        <f>SUM($D$20:$M$20)</f>
        <v>186</v>
      </c>
      <c r="O20" s="149">
        <f>IF(ISERROR(N20/$N$4),"",N20/$N$4)</f>
        <v>0.53448275862069</v>
      </c>
    </row>
    <row r="21" ht="14.85" customHeight="1" spans="1:15">
      <c r="A21" s="137"/>
      <c r="B21" s="140"/>
      <c r="C21" s="129" t="s">
        <v>18</v>
      </c>
      <c r="D21" s="141">
        <f t="shared" ref="D21:M21" si="0">D12+D15+D18+D9</f>
        <v>37</v>
      </c>
      <c r="E21" s="141">
        <f t="shared" si="0"/>
        <v>207</v>
      </c>
      <c r="F21" s="141">
        <f t="shared" si="0"/>
        <v>67</v>
      </c>
      <c r="G21" s="141">
        <f t="shared" si="0"/>
        <v>561</v>
      </c>
      <c r="H21" s="141">
        <f t="shared" si="0"/>
        <v>146</v>
      </c>
      <c r="I21" s="141">
        <f t="shared" si="0"/>
        <v>0</v>
      </c>
      <c r="J21" s="141">
        <f t="shared" si="0"/>
        <v>0</v>
      </c>
      <c r="K21" s="141">
        <f t="shared" si="0"/>
        <v>0</v>
      </c>
      <c r="L21" s="141">
        <f t="shared" si="0"/>
        <v>0</v>
      </c>
      <c r="M21" s="141">
        <f t="shared" si="0"/>
        <v>533</v>
      </c>
      <c r="N21" s="130">
        <f>SUM($D$21:$M$21)</f>
        <v>1551</v>
      </c>
      <c r="O21" s="149">
        <f>IF(ISERROR(N21/$N$5),"",N21/$N$5)</f>
        <v>0.429401993355482</v>
      </c>
    </row>
    <row r="22" ht="14.85" customHeight="1" spans="1:15">
      <c r="A22" s="142"/>
      <c r="B22" s="140"/>
      <c r="C22" s="129" t="s">
        <v>19</v>
      </c>
      <c r="D22" s="143">
        <f t="shared" ref="D22:M22" si="1">D13+D16+D19+D10</f>
        <v>2464.89</v>
      </c>
      <c r="E22" s="143">
        <f t="shared" si="1"/>
        <v>9170.65</v>
      </c>
      <c r="F22" s="143">
        <f t="shared" si="1"/>
        <v>3817</v>
      </c>
      <c r="G22" s="143">
        <f t="shared" si="1"/>
        <v>33398.93</v>
      </c>
      <c r="H22" s="143">
        <f t="shared" si="1"/>
        <v>8397.41</v>
      </c>
      <c r="I22" s="143">
        <f t="shared" si="1"/>
        <v>0</v>
      </c>
      <c r="J22" s="143">
        <f t="shared" si="1"/>
        <v>0</v>
      </c>
      <c r="K22" s="143">
        <f t="shared" si="1"/>
        <v>0</v>
      </c>
      <c r="L22" s="143">
        <f t="shared" si="1"/>
        <v>0</v>
      </c>
      <c r="M22" s="143">
        <f t="shared" si="1"/>
        <v>24743.22</v>
      </c>
      <c r="N22" s="130">
        <f>SUM($D$22:$M$22)</f>
        <v>81992.1</v>
      </c>
      <c r="O22" s="149">
        <f>IF(ISERROR(N22/$N$6),"",N22/$N$6)</f>
        <v>0.467572251292748</v>
      </c>
    </row>
    <row r="23" ht="14.85" customHeight="1" spans="1:15">
      <c r="A23" s="135" t="s">
        <v>27</v>
      </c>
      <c r="B23" s="140" t="s">
        <v>22</v>
      </c>
      <c r="C23" s="129" t="s">
        <v>17</v>
      </c>
      <c r="D23" s="130">
        <f>IFERROR(SUMPRODUCT((危旧房屋改造项目分表!$B$6:$B$353=$D$3)*(危旧房屋改造项目分表!AG$6:$AG$353="否")*(危旧房屋改造项目分表!$O$6:$O$353="原址重建")*(危旧房屋改造项目分表!$V$6:$V$353&lt;=10%)*危旧房屋改造项目分表!$AF$6:$AF$353),"")</f>
        <v>5</v>
      </c>
      <c r="E23" s="130">
        <f>IFERROR(SUMPRODUCT((危旧房屋改造项目分表!$B$6:$B$353=$E$3)*(危旧房屋改造项目分表!AG$6:$AG$353="否")*(危旧房屋改造项目分表!$O$6:$O$353="原址重建")*(危旧房屋改造项目分表!$V$6:$V$353&lt;=10%)*危旧房屋改造项目分表!$AF$6:$AF$353),"")</f>
        <v>11</v>
      </c>
      <c r="F23" s="130">
        <f>IFERROR(SUMPRODUCT((危旧房屋改造项目分表!$B$6:$B$353=$F$3)*(危旧房屋改造项目分表!AG$6:$AG$353="否")*(危旧房屋改造项目分表!$O$6:$O$353="原址重建")*(危旧房屋改造项目分表!$V$6:$V$353&lt;=10%)*危旧房屋改造项目分表!$AF$6:$AF$353),"")</f>
        <v>0</v>
      </c>
      <c r="G23" s="130">
        <f>IFERROR(SUMPRODUCT((危旧房屋改造项目分表!$B$6:$B$353=$G$3)*(危旧房屋改造项目分表!AG$6:$AG$353="否")*(危旧房屋改造项目分表!$O$6:$O$353="原址重建")*(危旧房屋改造项目分表!$V$6:$V$353&lt;=10%)*危旧房屋改造项目分表!$AF$6:$AF$353),"")</f>
        <v>2</v>
      </c>
      <c r="H23" s="130">
        <f>IFERROR(SUMPRODUCT((危旧房屋改造项目分表!$B$6:$B$353=$H$3)*(危旧房屋改造项目分表!AG$6:$AG$353="否")*(危旧房屋改造项目分表!$O$6:$O$353="原址重建")*(危旧房屋改造项目分表!$V$6:$V$353&lt;=10%)*危旧房屋改造项目分表!$AF$6:$AF$353),"")</f>
        <v>5</v>
      </c>
      <c r="I23" s="130">
        <f>IFERROR(SUMPRODUCT((危旧房屋改造项目分表!$B$6:$B$353=$I$3)*(危旧房屋改造项目分表!AG$6:$AG$353="否")*(危旧房屋改造项目分表!$O$6:$O$353="原址重建")*(危旧房屋改造项目分表!$V$6:$V$353&lt;=10%)*危旧房屋改造项目分表!$AF$6:$AF$353),"")</f>
        <v>2</v>
      </c>
      <c r="J23" s="130">
        <f>IFERROR(SUMPRODUCT((危旧房屋改造项目分表!$B$6:$B$353=$J$3)*(危旧房屋改造项目分表!AG$6:$AG$353="否")*(危旧房屋改造项目分表!$O$6:$O$353="原址重建")*(危旧房屋改造项目分表!$V$6:$V$353&lt;=10%)*危旧房屋改造项目分表!$AF$6:$AF$353),"")</f>
        <v>0</v>
      </c>
      <c r="K23" s="130">
        <f>IFERROR(SUMPRODUCT((危旧房屋改造项目分表!$B$6:$B$353=$K$3)*(危旧房屋改造项目分表!AG$6:$AG$353="否")*(危旧房屋改造项目分表!$O$6:$O$353="原址重建")*(危旧房屋改造项目分表!$V$6:$V$353&lt;=10%)*危旧房屋改造项目分表!$AF$6:$AF$353),"")</f>
        <v>0</v>
      </c>
      <c r="L23" s="130">
        <f>IFERROR(SUMPRODUCT((危旧房屋改造项目分表!$B$6:$B$353=$L$3)*(危旧房屋改造项目分表!AG$6:$AG$353="否")*(危旧房屋改造项目分表!$O$6:$O$353="原址重建")*(危旧房屋改造项目分表!$V$6:$V$353&lt;=10%)*危旧房屋改造项目分表!$AF$6:$AF$353),"")</f>
        <v>0</v>
      </c>
      <c r="M23" s="130">
        <f>IFERROR(SUMPRODUCT((危旧房屋改造项目分表!$AG$6:AH$353="是")*(危旧房屋改造项目分表!$O$6:$O$353="原址重建")*(危旧房屋改造项目分表!$V$6:$V$353&lt;=10%)*危旧房屋改造项目分表!$AF$6:$AF$353),"")</f>
        <v>52</v>
      </c>
      <c r="N23" s="130">
        <f>SUM($D$23:$M$23)</f>
        <v>77</v>
      </c>
      <c r="O23" s="149">
        <f>IF(ISERROR(N23/$N$35),"",N23/$N$35)</f>
        <v>0.865168539325843</v>
      </c>
    </row>
    <row r="24" ht="14.85" customHeight="1" spans="1:15">
      <c r="A24" s="137"/>
      <c r="B24" s="140"/>
      <c r="C24" s="129" t="s">
        <v>18</v>
      </c>
      <c r="D24" s="130">
        <f>IFERROR(SUMPRODUCT((危旧房屋改造项目分表!$B$6:$B$353=$D$3)*(危旧房屋改造项目分表!AG$6:$AG$353="否")*(危旧房屋改造项目分表!$O$6:$O$353="原址重建")*(危旧房屋改造项目分表!$V$6:$V$353&lt;=10%)*危旧房屋改造项目分表!$K$6:$K$353),"")</f>
        <v>34</v>
      </c>
      <c r="E24" s="130">
        <f>IFERROR(SUMPRODUCT((危旧房屋改造项目分表!$B$6:$B$353=$E$3)*(危旧房屋改造项目分表!AG$6:$AG$353="否")*(危旧房屋改造项目分表!$O$6:$O$353="原址重建")*(危旧房屋改造项目分表!$V$6:$V$353&lt;=10%)*危旧房屋改造项目分表!$K$6:$K$353),"")</f>
        <v>218</v>
      </c>
      <c r="F24" s="130">
        <f>IFERROR(SUMPRODUCT((危旧房屋改造项目分表!$B$6:$B$353=$F$3)*(危旧房屋改造项目分表!AG$6:$AG$353="否")*(危旧房屋改造项目分表!$O$6:$O$353="原址重建")*(危旧房屋改造项目分表!$V$6:$V$353&lt;=10%)*危旧房屋改造项目分表!$K$6:$K$353),"")</f>
        <v>0</v>
      </c>
      <c r="G24" s="130">
        <f>IFERROR(SUMPRODUCT((危旧房屋改造项目分表!$B$6:$B$353=$G$3)*(危旧房屋改造项目分表!AG$6:$AG$353="否")*(危旧房屋改造项目分表!$O$6:$O$353="原址重建")*(危旧房屋改造项目分表!$V$6:$V$353&lt;=10%)*危旧房屋改造项目分表!$K$6:$K$353),"")</f>
        <v>5</v>
      </c>
      <c r="H24" s="130">
        <f>IFERROR(SUMPRODUCT((危旧房屋改造项目分表!$B$6:$B$353=$H$3)*(危旧房屋改造项目分表!AG$6:$AG$353="否")*(危旧房屋改造项目分表!$O$6:$O$353="原址重建")*(危旧房屋改造项目分表!$V$6:$V$353&lt;=10%)*危旧房屋改造项目分表!$K$6:$K$353),"")</f>
        <v>172</v>
      </c>
      <c r="I24" s="130">
        <f>IFERROR(SUMPRODUCT((危旧房屋改造项目分表!$B$6:$B$353=$I$3)*(危旧房屋改造项目分表!AG$6:$AG$353="否")*(危旧房屋改造项目分表!$O$6:$O$353="原址重建")*(危旧房屋改造项目分表!$V$6:$V$353&lt;=10%)*危旧房屋改造项目分表!$K$6:$K$353),"")</f>
        <v>26</v>
      </c>
      <c r="J24" s="130">
        <f>IFERROR(SUMPRODUCT((危旧房屋改造项目分表!$B$6:$B$353=$J$3)*(危旧房屋改造项目分表!AG$6:$AG$353="否")*(危旧房屋改造项目分表!$O$6:$O$353="原址重建")*(危旧房屋改造项目分表!$V$6:$V$353&lt;=10%)*危旧房屋改造项目分表!$K$6:$K$353),"")</f>
        <v>0</v>
      </c>
      <c r="K24" s="130">
        <f>IFERROR(SUMPRODUCT((危旧房屋改造项目分表!$B$6:$B$353=$K$3)*(危旧房屋改造项目分表!AG$6:$AG$353="否")*(危旧房屋改造项目分表!$O$6:$O$353="原址重建")*(危旧房屋改造项目分表!$V$6:$V$353&lt;=10%)*危旧房屋改造项目分表!$K$6:$K$353),"")</f>
        <v>0</v>
      </c>
      <c r="L24" s="130">
        <f>IFERROR(SUMPRODUCT((危旧房屋改造项目分表!$B$6:$B$353=$L$3)*(危旧房屋改造项目分表!AG$6:$AG$353="否")*(危旧房屋改造项目分表!$O$6:$O$353="原址重建")*(危旧房屋改造项目分表!$V$6:$V$353&lt;=10%)*危旧房屋改造项目分表!$K$6:$K$353),"")</f>
        <v>0</v>
      </c>
      <c r="M24" s="130">
        <f>IFERROR(SUMPRODUCT((危旧房屋改造项目分表!$AG$6:AH$353="是")*(危旧房屋改造项目分表!$O$6:$O$353="原址重建")*(危旧房屋改造项目分表!$V$6:$V$353&lt;=10%)*危旧房屋改造项目分表!$K$6:$K$353),"")</f>
        <v>240</v>
      </c>
      <c r="N24" s="130">
        <f>SUM($D$24:$M$24)</f>
        <v>695</v>
      </c>
      <c r="O24" s="149">
        <f>IF(ISERROR(N24/$N$36),"",N24/$N$36)</f>
        <v>0.952054794520548</v>
      </c>
    </row>
    <row r="25" ht="14.85" customHeight="1" spans="1:15">
      <c r="A25" s="137"/>
      <c r="B25" s="140"/>
      <c r="C25" s="129" t="s">
        <v>19</v>
      </c>
      <c r="D25" s="130">
        <f>IFERROR(SUMPRODUCT((危旧房屋改造项目分表!$B$6:$B$353=$D$3)*(危旧房屋改造项目分表!AG$6:$AG$353="否")*(危旧房屋改造项目分表!$O$6:$O$353="原址重建")*(危旧房屋改造项目分表!$V$6:$V$353&lt;=10%)*危旧房屋改造项目分表!$L$6:$L$353),"")</f>
        <v>1727.8</v>
      </c>
      <c r="E25" s="130">
        <f>IFERROR(SUMPRODUCT((危旧房屋改造项目分表!$B$6:$B$353=$E$3)*(危旧房屋改造项目分表!AG$6:$AG$353="否")*(危旧房屋改造项目分表!$O$6:$O$353="原址重建")*(危旧房屋改造项目分表!$V$6:$V$353&lt;=10%)*危旧房屋改造项目分表!$L$6:$L$353),"")</f>
        <v>12248.83</v>
      </c>
      <c r="F25" s="130">
        <f>IFERROR(SUMPRODUCT((危旧房屋改造项目分表!$B$6:$B$353=$F$3)*(危旧房屋改造项目分表!AG$6:$AG$353="否")*(危旧房屋改造项目分表!$O$6:$O$353="原址重建")*(危旧房屋改造项目分表!$V$6:$V$353&lt;=10%)*危旧房屋改造项目分表!$L$6:$L$353),"")</f>
        <v>0</v>
      </c>
      <c r="G25" s="130">
        <f>IFERROR(SUMPRODUCT((危旧房屋改造项目分表!$B$6:$B$353=$G$3)*(危旧房屋改造项目分表!AG$6:$AG$353="否")*(危旧房屋改造项目分表!$O$6:$O$353="原址重建")*(危旧房屋改造项目分表!$V$6:$V$353&lt;=10%)*危旧房屋改造项目分表!$L$6:$L$353),"")</f>
        <v>172.93</v>
      </c>
      <c r="H25" s="130">
        <f>IFERROR(SUMPRODUCT((危旧房屋改造项目分表!$B$6:$B$353=$H$3)*(危旧房屋改造项目分表!AG$6:$AG$353="否")*(危旧房屋改造项目分表!$O$6:$O$353="原址重建")*(危旧房屋改造项目分表!$V$6:$V$353&lt;=10%)*危旧房屋改造项目分表!$L$6:$L$353),"")</f>
        <v>11067.15</v>
      </c>
      <c r="I25" s="130">
        <f>IFERROR(SUMPRODUCT((危旧房屋改造项目分表!$B$6:$B$353=$I$3)*(危旧房屋改造项目分表!AG$6:$AG$353="否")*(危旧房屋改造项目分表!$O$6:$O$353="原址重建")*(危旧房屋改造项目分表!$V$6:$V$353&lt;=10%)*危旧房屋改造项目分表!$L$6:$L$353),"")</f>
        <v>1327</v>
      </c>
      <c r="J25" s="130">
        <f>IFERROR(SUMPRODUCT((危旧房屋改造项目分表!$B$6:$B$353=$J$3)*(危旧房屋改造项目分表!AG$6:$AG$353="否")*(危旧房屋改造项目分表!$O$6:$O$353="原址重建")*(危旧房屋改造项目分表!$V$6:$V$353&lt;=10%)*危旧房屋改造项目分表!$L$6:$L$353),"")</f>
        <v>0</v>
      </c>
      <c r="K25" s="130">
        <f>IFERROR(SUMPRODUCT((危旧房屋改造项目分表!$B$6:$B$353=$K$3)*(危旧房屋改造项目分表!AG$6:$AG$353="否")*(危旧房屋改造项目分表!$O$6:$O$353="原址重建")*(危旧房屋改造项目分表!$V$6:$V$353&lt;=10%)*危旧房屋改造项目分表!$L$6:$L$353),"")</f>
        <v>0</v>
      </c>
      <c r="L25" s="130">
        <f>IFERROR(SUMPRODUCT((危旧房屋改造项目分表!$B$6:$B$353=$L$3)*(危旧房屋改造项目分表!AG$6:$AG$353="否")*(危旧房屋改造项目分表!$O$6:$O$353="原址重建")*(危旧房屋改造项目分表!$V$6:$V$353&lt;=10%)*危旧房屋改造项目分表!$L$6:$L$353),"")</f>
        <v>0</v>
      </c>
      <c r="M25" s="130">
        <f>IFERROR(SUMPRODUCT((危旧房屋改造项目分表!$AG$6:AH$353="是")*(危旧房屋改造项目分表!$O$6:$O$353="原址重建")*(危旧房屋改造项目分表!$V$6:$V$353&lt;=10%)*危旧房屋改造项目分表!$L$6:$L$353),"")</f>
        <v>9939.15</v>
      </c>
      <c r="N25" s="130">
        <f>SUM($D$25:$M$25)</f>
        <v>36482.86</v>
      </c>
      <c r="O25" s="149">
        <f>IF(ISERROR(N25/$N$37),"",N25/$N$37)</f>
        <v>0.961934327816707</v>
      </c>
    </row>
    <row r="26" ht="14.85" customHeight="1" spans="1:15">
      <c r="A26" s="137"/>
      <c r="B26" s="140" t="s">
        <v>23</v>
      </c>
      <c r="C26" s="129" t="s">
        <v>17</v>
      </c>
      <c r="D26" s="130">
        <f>IFERROR(SUMPRODUCT((危旧房屋改造项目分表!$B$6:$B$353=$D$3)*(危旧房屋改造项目分表!AG$6:$AG$353="否")*(危旧房屋改造项目分表!$O$6:$O$353="原址重建")*(危旧房屋改造项目分表!$V$6:$V$353&gt;=11%)*(危旧房屋改造项目分表!$V$6:$V$353&lt;=30%)*危旧房屋改造项目分表!$AF$6:$AF$353),"")</f>
        <v>0</v>
      </c>
      <c r="E26" s="130">
        <f>IFERROR(SUMPRODUCT((危旧房屋改造项目分表!$B$6:$B$353=$E$3)*(危旧房屋改造项目分表!AG$6:$AG$353="否")*(危旧房屋改造项目分表!$O$6:$O$353="原址重建")*(危旧房屋改造项目分表!$V$6:$V$353&gt;=11%)*(危旧房屋改造项目分表!$V$6:$V$353&lt;=30%)*危旧房屋改造项目分表!$AF$6:$AF$353),"")</f>
        <v>0</v>
      </c>
      <c r="F26" s="130">
        <f>IFERROR(SUMPRODUCT((危旧房屋改造项目分表!$B$6:$B$353=$F$3)*(危旧房屋改造项目分表!AG$6:$AG$353="否")*(危旧房屋改造项目分表!$O$6:$O$353="原址重建")*(危旧房屋改造项目分表!$V$6:$V$353&gt;=11%)*(危旧房屋改造项目分表!$V$6:$V$353&lt;=30%)*危旧房屋改造项目分表!$AF$6:$AF$353),"")</f>
        <v>0</v>
      </c>
      <c r="G26" s="130">
        <f>IFERROR(SUMPRODUCT((危旧房屋改造项目分表!$B$6:$B$353=$G$3)*(危旧房屋改造项目分表!AG$6:$AG$353="否")*(危旧房屋改造项目分表!$O$6:$O$353="原址重建")*(危旧房屋改造项目分表!$V$6:$V$353&gt;=11%)*(危旧房屋改造项目分表!$V$6:$V$353&lt;=30%)*危旧房屋改造项目分表!$AF$6:$AF$353),"")</f>
        <v>0</v>
      </c>
      <c r="H26" s="130">
        <f>IFERROR(SUMPRODUCT((危旧房屋改造项目分表!$B$6:$B$353=$H$3)*(危旧房屋改造项目分表!AG$6:$AG$353="否")*(危旧房屋改造项目分表!$O$6:$O$353="原址重建")*(危旧房屋改造项目分表!$V$6:$V$353&gt;=11%)*(危旧房屋改造项目分表!$V$6:$V$353&lt;=30%)*危旧房屋改造项目分表!$AF$6:$AF$353),"")</f>
        <v>0</v>
      </c>
      <c r="I26" s="130">
        <f>IFERROR(SUMPRODUCT((危旧房屋改造项目分表!$B$6:$B$353=$I$3)*(危旧房屋改造项目分表!AG$6:$AG$353="否")*(危旧房屋改造项目分表!$O$6:$O$353="原址重建")*(危旧房屋改造项目分表!$V$6:$V$353&gt;=11%)*(危旧房屋改造项目分表!$V$6:$V$353&lt;=30%)*危旧房屋改造项目分表!$AF$6:$AF$353),"")</f>
        <v>0</v>
      </c>
      <c r="J26" s="130">
        <f>IFERROR(SUMPRODUCT((危旧房屋改造项目分表!$B$6:$B$353=$J$3)*(危旧房屋改造项目分表!AG$6:$AG$353="否")*(危旧房屋改造项目分表!$O$6:$O$353="原址重建")*(危旧房屋改造项目分表!$V$6:$V$353&gt;=11%)*(危旧房屋改造项目分表!$V$6:$V$353&lt;=30%)*危旧房屋改造项目分表!$AF$6:$AF$353),"")</f>
        <v>0</v>
      </c>
      <c r="K26" s="130">
        <f>IFERROR(SUMPRODUCT((危旧房屋改造项目分表!$B$6:$B$353=$K$3)*(危旧房屋改造项目分表!AG$6:$AG$353="否")*(危旧房屋改造项目分表!$O$6:$O$353="原址重建")*(危旧房屋改造项目分表!$V$6:$V$353&gt;=11%)*(危旧房屋改造项目分表!$V$6:$V$353&lt;=30%)*危旧房屋改造项目分表!$AF$6:$AF$353),"")</f>
        <v>0</v>
      </c>
      <c r="L26" s="130">
        <f>IFERROR(SUMPRODUCT((危旧房屋改造项目分表!$B$6:$B$353=$L$3)*(危旧房屋改造项目分表!AG$6:$AG$353="否")*(危旧房屋改造项目分表!$O$6:$O$353="原址重建")*(危旧房屋改造项目分表!$V$6:$V$353&gt;=11%)*(危旧房屋改造项目分表!$V$6:$V$353&lt;=30%)*危旧房屋改造项目分表!$AF$6:$AF$353),"")</f>
        <v>0</v>
      </c>
      <c r="M26" s="130">
        <f>IFERROR(SUMPRODUCT((危旧房屋改造项目分表!$AG$6:AH$353="是")*(危旧房屋改造项目分表!$O$6:$O$353="原址重建")*(危旧房屋改造项目分表!$V$6:$V$353&gt;=11%)*(危旧房屋改造项目分表!$V$6:$V$353&lt;=30%)*危旧房屋改造项目分表!$AF$6:$AF$353),"")</f>
        <v>8</v>
      </c>
      <c r="N26" s="130">
        <f>SUM($D$26:$M$26)</f>
        <v>8</v>
      </c>
      <c r="O26" s="149">
        <f>IF(ISERROR(N26/$N$35),"",N26/$N$35)</f>
        <v>0.0898876404494382</v>
      </c>
    </row>
    <row r="27" ht="14.85" customHeight="1" spans="1:15">
      <c r="A27" s="137"/>
      <c r="B27" s="140"/>
      <c r="C27" s="129" t="s">
        <v>18</v>
      </c>
      <c r="D27" s="130">
        <f>IFERROR(SUMPRODUCT((危旧房屋改造项目分表!$B$6:$B$353=$D$3)*(危旧房屋改造项目分表!AG$6:$AG$353="否")*(危旧房屋改造项目分表!$O$6:$O$353="原址重建")*(危旧房屋改造项目分表!$V$6:$V$353&gt;=11%)*(危旧房屋改造项目分表!$V$6:$V$353&lt;=30%)*危旧房屋改造项目分表!$K$6:$K$353),"")</f>
        <v>0</v>
      </c>
      <c r="E27" s="130">
        <f>IFERROR(SUMPRODUCT((危旧房屋改造项目分表!$B$6:$B$353=$E$3)*(危旧房屋改造项目分表!AG$6:$AG$353="否")*(危旧房屋改造项目分表!$O$6:$O$353="原址重建")*(危旧房屋改造项目分表!$V$6:$V$353&gt;=11%)*(危旧房屋改造项目分表!$V$6:$V$353&lt;=30%)*危旧房屋改造项目分表!$K$6:$K$353),"")</f>
        <v>0</v>
      </c>
      <c r="F27" s="130">
        <f>IFERROR(SUMPRODUCT((危旧房屋改造项目分表!$B$6:$B$353=$F$3)*(危旧房屋改造项目分表!AG$6:$AG$353="否")*(危旧房屋改造项目分表!$O$6:$O$353="原址重建")*(危旧房屋改造项目分表!$V$6:$V$353&gt;=11%)*(危旧房屋改造项目分表!$V$6:$V$353&lt;=30%)*危旧房屋改造项目分表!$K$6:$K$353),"")</f>
        <v>0</v>
      </c>
      <c r="G27" s="130">
        <f>IFERROR(SUMPRODUCT((危旧房屋改造项目分表!$B$6:$B$353=$G$3)*(危旧房屋改造项目分表!AG$6:$AG$353="否")*(危旧房屋改造项目分表!$O$6:$O$353="原址重建")*(危旧房屋改造项目分表!$V$6:$V$353&gt;=11%)*(危旧房屋改造项目分表!$V$6:$V$353&lt;=30%)*危旧房屋改造项目分表!$K$6:$K$353),"")</f>
        <v>0</v>
      </c>
      <c r="H27" s="130">
        <f>IFERROR(SUMPRODUCT((危旧房屋改造项目分表!$B$6:$B$353=$H$3)*(危旧房屋改造项目分表!AG$6:$AG$353="否")*(危旧房屋改造项目分表!$O$6:$O$353="原址重建")*(危旧房屋改造项目分表!$V$6:$V$353&gt;=11%)*(危旧房屋改造项目分表!$V$6:$V$353&lt;=30%)*危旧房屋改造项目分表!$K$6:$K$353),"")</f>
        <v>0</v>
      </c>
      <c r="I27" s="130">
        <f>IFERROR(SUMPRODUCT((危旧房屋改造项目分表!$B$6:$B$353=$I$3)*(危旧房屋改造项目分表!AG$6:$AG$353="否")*(危旧房屋改造项目分表!$O$6:$O$353="原址重建")*(危旧房屋改造项目分表!$V$6:$V$353&gt;=11%)*(危旧房屋改造项目分表!$V$6:$V$353&lt;=30%)*危旧房屋改造项目分表!$K$6:$K$353),"")</f>
        <v>0</v>
      </c>
      <c r="J27" s="130">
        <f>IFERROR(SUMPRODUCT((危旧房屋改造项目分表!$B$6:$B$353=$J$3)*(危旧房屋改造项目分表!AG$6:$AG$353="否")*(危旧房屋改造项目分表!$O$6:$O$353="原址重建")*(危旧房屋改造项目分表!$V$6:$V$353&gt;=11%)*(危旧房屋改造项目分表!$V$6:$V$353&lt;=30%)*危旧房屋改造项目分表!$K$6:$K$353),"")</f>
        <v>0</v>
      </c>
      <c r="K27" s="130">
        <f>IFERROR(SUMPRODUCT((危旧房屋改造项目分表!$B$6:$B$353=$K$3)*(危旧房屋改造项目分表!AG$6:$AG$353="否")*(危旧房屋改造项目分表!$O$6:$O$353="原址重建")*(危旧房屋改造项目分表!$V$6:$V$353&gt;=11%)*(危旧房屋改造项目分表!$V$6:$V$353&lt;=30%)*危旧房屋改造项目分表!$K$6:$K$353),"")</f>
        <v>0</v>
      </c>
      <c r="L27" s="130">
        <f>IFERROR(SUMPRODUCT((危旧房屋改造项目分表!$B$6:$B$353=$L$3)*(危旧房屋改造项目分表!AG$6:$AG$353="否")*(危旧房屋改造项目分表!$O$6:$O$353="原址重建")*(危旧房屋改造项目分表!$V$6:$V$353&gt;=11%)*(危旧房屋改造项目分表!$V$6:$V$353&lt;=30%)*危旧房屋改造项目分表!$K$6:$K$353),"")</f>
        <v>0</v>
      </c>
      <c r="M27" s="130">
        <f>IFERROR(SUMPRODUCT((危旧房屋改造项目分表!$AG$6:AH$353="是")*(危旧房屋改造项目分表!$O$6:$O$353="原址重建")*(危旧房屋改造项目分表!$V$6:$V$353&gt;=11%)*(危旧房屋改造项目分表!$V$6:$V$353&lt;=30%)*危旧房屋改造项目分表!$K$6:$K$353),"")</f>
        <v>30</v>
      </c>
      <c r="N27" s="130">
        <f>SUM($D$27:$M$27)</f>
        <v>30</v>
      </c>
      <c r="O27" s="149">
        <f>IF(ISERROR(N27/$N$36),"",N27/$N$36)</f>
        <v>0.0410958904109589</v>
      </c>
    </row>
    <row r="28" ht="14.85" customHeight="1" spans="1:15">
      <c r="A28" s="137"/>
      <c r="B28" s="140"/>
      <c r="C28" s="129" t="s">
        <v>19</v>
      </c>
      <c r="D28" s="130">
        <f>IFERROR(SUMPRODUCT((危旧房屋改造项目分表!$B$6:$B$353=$D$3)*(危旧房屋改造项目分表!AG$6:$AG$353="否")*(危旧房屋改造项目分表!$O$6:$O$353="原址重建")*(危旧房屋改造项目分表!$V$6:$V$353&gt;=11%)*(危旧房屋改造项目分表!$V$6:$V$353&lt;=30%)*危旧房屋改造项目分表!$L$6:$L$353),"")</f>
        <v>0</v>
      </c>
      <c r="E28" s="130">
        <f>IFERROR(SUMPRODUCT((危旧房屋改造项目分表!$B$6:$B$353=$E$3)*(危旧房屋改造项目分表!AG$6:$AG$353="否")*(危旧房屋改造项目分表!$O$6:$O$353="原址重建")*(危旧房屋改造项目分表!$V$6:$V$353&gt;=11%)*(危旧房屋改造项目分表!$V$6:$V$353&lt;=30%)*危旧房屋改造项目分表!$L$6:$L$353),"")</f>
        <v>0</v>
      </c>
      <c r="F28" s="130">
        <f>IFERROR(SUMPRODUCT((危旧房屋改造项目分表!$B$6:$B$353=$F$3)*(危旧房屋改造项目分表!AG$6:$AG$353="否")*(危旧房屋改造项目分表!$O$6:$O$353="原址重建")*(危旧房屋改造项目分表!$V$6:$V$353&gt;=11%)*(危旧房屋改造项目分表!$V$6:$V$353&lt;=30%)*危旧房屋改造项目分表!$L$6:$L$353),"")</f>
        <v>0</v>
      </c>
      <c r="G28" s="130">
        <f>IFERROR(SUMPRODUCT((危旧房屋改造项目分表!$B$6:$B$353=$G$3)*(危旧房屋改造项目分表!AG$6:$AG$353="否")*(危旧房屋改造项目分表!$O$6:$O$353="原址重建")*(危旧房屋改造项目分表!$V$6:$V$353&gt;=11%)*(危旧房屋改造项目分表!$V$6:$V$353&lt;=30%)*危旧房屋改造项目分表!$L$6:$L$353),"")</f>
        <v>0</v>
      </c>
      <c r="H28" s="130">
        <f>IFERROR(SUMPRODUCT((危旧房屋改造项目分表!$B$6:$B$353=$H$3)*(危旧房屋改造项目分表!AG$6:$AG$353="否")*(危旧房屋改造项目分表!$O$6:$O$353="原址重建")*(危旧房屋改造项目分表!$V$6:$V$353&gt;=11%)*(危旧房屋改造项目分表!$V$6:$V$353&lt;=30%)*危旧房屋改造项目分表!$L$6:$L$353),"")</f>
        <v>0</v>
      </c>
      <c r="I28" s="130">
        <f>IFERROR(SUMPRODUCT((危旧房屋改造项目分表!$B$6:$B$353=$I$3)*(危旧房屋改造项目分表!AG$6:$AG$353="否")*(危旧房屋改造项目分表!$O$6:$O$353="原址重建")*(危旧房屋改造项目分表!$V$6:$V$353&gt;=11%)*(危旧房屋改造项目分表!$V$6:$V$353&lt;=30%)*危旧房屋改造项目分表!$L$6:$L$353),"")</f>
        <v>0</v>
      </c>
      <c r="J28" s="130">
        <f>IFERROR(SUMPRODUCT((危旧房屋改造项目分表!$B$6:$B$353=$J$3)*(危旧房屋改造项目分表!AG$6:$AG$353="否")*(危旧房屋改造项目分表!$O$6:$O$353="原址重建")*(危旧房屋改造项目分表!$V$6:$V$353&gt;=11%)*(危旧房屋改造项目分表!$V$6:$V$353&lt;=30%)*危旧房屋改造项目分表!$L$6:$L$353),"")</f>
        <v>0</v>
      </c>
      <c r="K28" s="130">
        <f>IFERROR(SUMPRODUCT((危旧房屋改造项目分表!$B$6:$B$353=$K$3)*(危旧房屋改造项目分表!AG$6:$AG$353="否")*(危旧房屋改造项目分表!$O$6:$O$353="原址重建")*(危旧房屋改造项目分表!$V$6:$V$353&gt;=11%)*(危旧房屋改造项目分表!$V$6:$V$353&lt;=30%)*危旧房屋改造项目分表!$L$6:$L$353),"")</f>
        <v>0</v>
      </c>
      <c r="L28" s="130">
        <f>IFERROR(SUMPRODUCT((危旧房屋改造项目分表!$B$6:$B$353=$L$3)*(危旧房屋改造项目分表!AG$6:$AG$353="否")*(危旧房屋改造项目分表!$O$6:$O$353="原址重建")*(危旧房屋改造项目分表!$V$6:$V$353&gt;=11%)*(危旧房屋改造项目分表!$V$6:$V$353&lt;=30%)*危旧房屋改造项目分表!$L$6:$L$353),"")</f>
        <v>0</v>
      </c>
      <c r="M28" s="130">
        <f>IFERROR(SUMPRODUCT((危旧房屋改造项目分表!$AG$6:AH$353="是")*(危旧房屋改造项目分表!$O$6:$O$353="原址重建")*(危旧房屋改造项目分表!$V$6:$V$353&gt;=11%)*(危旧房屋改造项目分表!$V$6:$V$353&lt;=30%)*危旧房屋改造项目分表!$L$6:$L$353),"")</f>
        <v>1288.38</v>
      </c>
      <c r="N28" s="130">
        <f>SUM($D$28:$M$28)</f>
        <v>1288.38</v>
      </c>
      <c r="O28" s="149">
        <f>IF(ISERROR(N28/$N$37),"",N28/$N$37)</f>
        <v>0.0339703890888074</v>
      </c>
    </row>
    <row r="29" ht="14.85" customHeight="1" spans="1:15">
      <c r="A29" s="137"/>
      <c r="B29" s="140" t="s">
        <v>24</v>
      </c>
      <c r="C29" s="129" t="s">
        <v>17</v>
      </c>
      <c r="D29" s="130">
        <f>IFERROR(SUMPRODUCT((危旧房屋改造项目分表!$B$6:$B$353=$D$3)*(危旧房屋改造项目分表!AG$6:$AG$353="否")*(危旧房屋改造项目分表!$O$6:$O$353="原址重建")*(危旧房屋改造项目分表!$V$6:$V$353&gt;=31%)*(危旧房屋改造项目分表!$V$6:$V$353&lt;=89%)*危旧房屋改造项目分表!$AF$6:$AF$353),"")</f>
        <v>0</v>
      </c>
      <c r="E29" s="130">
        <f>IFERROR(SUMPRODUCT((危旧房屋改造项目分表!$B$6:$B$353=$E$3)*(危旧房屋改造项目分表!AG$6:$AG$353="否")*(危旧房屋改造项目分表!$O$6:$O$353="原址重建")*(危旧房屋改造项目分表!$V$6:$V$353&gt;=31%)*(危旧房屋改造项目分表!$V$6:$V$353&lt;=89%)*危旧房屋改造项目分表!$AF$6:$AF$353),"")</f>
        <v>0</v>
      </c>
      <c r="F29" s="130">
        <f>IFERROR(SUMPRODUCT((危旧房屋改造项目分表!$B$6:$B$353=$F$3)*(危旧房屋改造项目分表!AG$6:$AG$353="否")*(危旧房屋改造项目分表!$O$6:$O$353="原址重建")*(危旧房屋改造项目分表!$V$6:$V$353&gt;=31%)*(危旧房屋改造项目分表!$V$6:$V$353&lt;=89%)*危旧房屋改造项目分表!$AF$6:$AF$353),"")</f>
        <v>0</v>
      </c>
      <c r="G29" s="130">
        <f>IFERROR(SUMPRODUCT((危旧房屋改造项目分表!$B$6:$B$353=$G$3)*(危旧房屋改造项目分表!AG$6:$AG$353="否")*(危旧房屋改造项目分表!$O$6:$O$353="原址重建")*(危旧房屋改造项目分表!$V$6:$V$353&gt;=31%)*(危旧房屋改造项目分表!$V$6:$V$353&lt;=89%)*危旧房屋改造项目分表!$AF$6:$AF$353),"")</f>
        <v>0</v>
      </c>
      <c r="H29" s="130">
        <f>IFERROR(SUMPRODUCT((危旧房屋改造项目分表!$B$6:$B$353=$H$3)*(危旧房屋改造项目分表!AG$6:$AG$353="否")*(危旧房屋改造项目分表!$O$6:$O$353="原址重建")*(危旧房屋改造项目分表!$V$6:$V$353&gt;=31%)*(危旧房屋改造项目分表!$V$6:$V$353&lt;=89%)*危旧房屋改造项目分表!$AF$6:$AF$353),"")</f>
        <v>0</v>
      </c>
      <c r="I29" s="130">
        <f>IFERROR(SUMPRODUCT((危旧房屋改造项目分表!$B$6:$B$353=$I$3)*(危旧房屋改造项目分表!AG$6:$AG$353="否")*(危旧房屋改造项目分表!$O$6:$O$353="原址重建")*(危旧房屋改造项目分表!$V$6:$V$353&gt;=31%)*(危旧房屋改造项目分表!$V$6:$V$353&lt;=89%)*危旧房屋改造项目分表!$AF$6:$AF$353),"")</f>
        <v>0</v>
      </c>
      <c r="J29" s="130">
        <f>IFERROR(SUMPRODUCT((危旧房屋改造项目分表!$B$6:$B$353=$J$3)*(危旧房屋改造项目分表!AG$6:$AG$353="否")*(危旧房屋改造项目分表!$O$6:$O$353="原址重建")*(危旧房屋改造项目分表!$V$6:$V$353&gt;=31%)*(危旧房屋改造项目分表!$V$6:$V$353&lt;=89%)*危旧房屋改造项目分表!$AF$6:$AF$353),"")</f>
        <v>0</v>
      </c>
      <c r="K29" s="130">
        <f>IFERROR(SUMPRODUCT((危旧房屋改造项目分表!$B$6:$B$353=$K$3)*(危旧房屋改造项目分表!AG$6:$AG$353="否")*(危旧房屋改造项目分表!$O$6:$O$353="原址重建")*(危旧房屋改造项目分表!$V$6:$V$353&gt;=31%)*(危旧房屋改造项目分表!$V$6:$V$353&lt;=89%)*危旧房屋改造项目分表!$AF$6:$AF$353),"")</f>
        <v>0</v>
      </c>
      <c r="L29" s="130">
        <f>IFERROR(SUMPRODUCT((危旧房屋改造项目分表!$B$6:$B$353=$L$3)*(危旧房屋改造项目分表!AG$6:$AG$353="否")*(危旧房屋改造项目分表!$O$6:$O$353="原址重建")*(危旧房屋改造项目分表!$V$6:$V$353&gt;=31%)*(危旧房屋改造项目分表!$V$6:$V$353&lt;=89%)*危旧房屋改造项目分表!$AF$6:$AF$353),"")</f>
        <v>0</v>
      </c>
      <c r="M29" s="130">
        <f>IFERROR(SUMPRODUCT((危旧房屋改造项目分表!$AG$6:AH$353="是")*(危旧房屋改造项目分表!$O$6:$O$353="原址重建")*(危旧房屋改造项目分表!$V$6:$V$353&gt;=31%)*(危旧房屋改造项目分表!$V$6:$V$353&lt;=89%)*危旧房屋改造项目分表!$AF$6:$AF$353),"")</f>
        <v>0</v>
      </c>
      <c r="N29" s="130">
        <f>SUM($D$29:$M$29)</f>
        <v>0</v>
      </c>
      <c r="O29" s="149">
        <f>IF(ISERROR(N29/$N$35),"",N29/$N$35)</f>
        <v>0</v>
      </c>
    </row>
    <row r="30" ht="14.85" customHeight="1" spans="1:15">
      <c r="A30" s="137"/>
      <c r="B30" s="140"/>
      <c r="C30" s="129" t="s">
        <v>18</v>
      </c>
      <c r="D30" s="130">
        <f>IFERROR(SUMPRODUCT((危旧房屋改造项目分表!$B$6:$B$353=$D$3)*(危旧房屋改造项目分表!AG$6:$AG$353="否")*(危旧房屋改造项目分表!$O$6:$O$353="原址重建")*(危旧房屋改造项目分表!$V$6:$V$353&gt;=31%)*(危旧房屋改造项目分表!$V$6:$V$353&lt;=89%)*危旧房屋改造项目分表!$K$6:$K$353),"")</f>
        <v>0</v>
      </c>
      <c r="E30" s="130">
        <f>IFERROR(SUMPRODUCT((危旧房屋改造项目分表!$B$6:$B$353=$E$3)*(危旧房屋改造项目分表!AG$6:$AG$353="否")*(危旧房屋改造项目分表!$O$6:$O$353="原址重建")*(危旧房屋改造项目分表!$V$6:$V$353&gt;=31%)*(危旧房屋改造项目分表!$V$6:$V$353&lt;=89%)*危旧房屋改造项目分表!$K$6:$K$353),"")</f>
        <v>0</v>
      </c>
      <c r="F30" s="130">
        <f>IFERROR(SUMPRODUCT((危旧房屋改造项目分表!$B$6:$B$353=$F$3)*(危旧房屋改造项目分表!AG$6:$AG$353="否")*(危旧房屋改造项目分表!$O$6:$O$353="原址重建")*(危旧房屋改造项目分表!$V$6:$V$353&gt;=31%)*(危旧房屋改造项目分表!$V$6:$V$353&lt;=89%)*危旧房屋改造项目分表!$K$6:$K$353),"")</f>
        <v>0</v>
      </c>
      <c r="G30" s="130">
        <f>IFERROR(SUMPRODUCT((危旧房屋改造项目分表!$B$6:$B$353=$G$3)*(危旧房屋改造项目分表!AG$6:$AG$353="否")*(危旧房屋改造项目分表!$O$6:$O$353="原址重建")*(危旧房屋改造项目分表!$V$6:$V$353&gt;=31%)*(危旧房屋改造项目分表!$V$6:$V$353&lt;=89%)*危旧房屋改造项目分表!$K$6:$K$353),"")</f>
        <v>0</v>
      </c>
      <c r="H30" s="130">
        <f>IFERROR(SUMPRODUCT((危旧房屋改造项目分表!$B$6:$B$353=$H$3)*(危旧房屋改造项目分表!AG$6:$AG$353="否")*(危旧房屋改造项目分表!$O$6:$O$353="原址重建")*(危旧房屋改造项目分表!$V$6:$V$353&gt;=31%)*(危旧房屋改造项目分表!$V$6:$V$353&lt;=89%)*危旧房屋改造项目分表!$K$6:$K$353),"")</f>
        <v>0</v>
      </c>
      <c r="I30" s="130">
        <f>IFERROR(SUMPRODUCT((危旧房屋改造项目分表!$B$6:$B$353=$I$3)*(危旧房屋改造项目分表!AG$6:$AG$353="否")*(危旧房屋改造项目分表!$O$6:$O$353="原址重建")*(危旧房屋改造项目分表!$V$6:$V$353&gt;=31%)*(危旧房屋改造项目分表!$V$6:$V$353&lt;=89%)*危旧房屋改造项目分表!$K$6:$K$353),"")</f>
        <v>0</v>
      </c>
      <c r="J30" s="130">
        <f>IFERROR(SUMPRODUCT((危旧房屋改造项目分表!$B$6:$B$353=$J$3)*(危旧房屋改造项目分表!AG$6:$AG$353="否")*(危旧房屋改造项目分表!$O$6:$O$353="原址重建")*(危旧房屋改造项目分表!$V$6:$V$353&gt;=31%)*(危旧房屋改造项目分表!$V$6:$V$353&lt;=89%)*危旧房屋改造项目分表!$K$6:$K$353),"")</f>
        <v>0</v>
      </c>
      <c r="K30" s="130">
        <f>IFERROR(SUMPRODUCT((危旧房屋改造项目分表!$B$6:$B$353=$K$3)*(危旧房屋改造项目分表!AG$6:$AG$353="否")*(危旧房屋改造项目分表!$O$6:$O$353="原址重建")*(危旧房屋改造项目分表!$V$6:$V$353&gt;=31%)*(危旧房屋改造项目分表!$V$6:$V$353&lt;=89%)*危旧房屋改造项目分表!$K$6:$K$353),"")</f>
        <v>0</v>
      </c>
      <c r="L30" s="130">
        <f>IFERROR(SUMPRODUCT((危旧房屋改造项目分表!$B$6:$B$353=$L$3)*(危旧房屋改造项目分表!AG$6:$AG$353="否")*(危旧房屋改造项目分表!$O$6:$O$353="原址重建")*(危旧房屋改造项目分表!$V$6:$V$353&gt;=31%)*(危旧房屋改造项目分表!$V$6:$V$353&lt;=89%)*危旧房屋改造项目分表!$K$6:$K$353),"")</f>
        <v>0</v>
      </c>
      <c r="M30" s="130">
        <f>IFERROR(SUMPRODUCT((危旧房屋改造项目分表!$AG$6:AH$353="是")*(危旧房屋改造项目分表!$O$6:$O$353="原址重建")*(危旧房屋改造项目分表!$V$6:$V$353&gt;=31%)*(危旧房屋改造项目分表!$V$6:$V$353&lt;=89%)*危旧房屋改造项目分表!$K$6:$K$353),"")</f>
        <v>0</v>
      </c>
      <c r="N30" s="130">
        <f>SUM($D$30:$M$30)</f>
        <v>0</v>
      </c>
      <c r="O30" s="149">
        <f>IF(ISERROR(N30/$N$36),"",N30/$N$36)</f>
        <v>0</v>
      </c>
    </row>
    <row r="31" ht="14.85" customHeight="1" spans="1:15">
      <c r="A31" s="137"/>
      <c r="B31" s="140"/>
      <c r="C31" s="129" t="s">
        <v>19</v>
      </c>
      <c r="D31" s="130">
        <f>IFERROR(SUMPRODUCT((危旧房屋改造项目分表!$B$6:$B$353=$D$3)*(危旧房屋改造项目分表!AG$6:$AG$353="否")*(危旧房屋改造项目分表!$O$6:$O$353="原址重建")*(危旧房屋改造项目分表!$V$6:$V$353&gt;=31%)*(危旧房屋改造项目分表!$V$6:$V$353&lt;=89%)*危旧房屋改造项目分表!$L$6:$L$353),"")</f>
        <v>0</v>
      </c>
      <c r="E31" s="130">
        <f>IFERROR(SUMPRODUCT((危旧房屋改造项目分表!$B$6:$B$353=$E$3)*(危旧房屋改造项目分表!AG$6:$AG$353="否")*(危旧房屋改造项目分表!$O$6:$O$353="原址重建")*(危旧房屋改造项目分表!$V$6:$V$353&gt;=31%)*(危旧房屋改造项目分表!$V$6:$V$353&lt;=89%)*危旧房屋改造项目分表!$L$6:$L$353),"")</f>
        <v>0</v>
      </c>
      <c r="F31" s="130">
        <f>IFERROR(SUMPRODUCT((危旧房屋改造项目分表!$B$6:$B$353=$F$3)*(危旧房屋改造项目分表!AG$6:$AG$353="否")*(危旧房屋改造项目分表!$O$6:$O$353="原址重建")*(危旧房屋改造项目分表!$V$6:$V$353&gt;=31%)*(危旧房屋改造项目分表!$V$6:$V$353&lt;=89%)*危旧房屋改造项目分表!$L$6:$L$353),"")</f>
        <v>0</v>
      </c>
      <c r="G31" s="130">
        <f>IFERROR(SUMPRODUCT((危旧房屋改造项目分表!$B$6:$B$353=$G$3)*(危旧房屋改造项目分表!AG$6:$AG$353="否")*(危旧房屋改造项目分表!$O$6:$O$353="原址重建")*(危旧房屋改造项目分表!$V$6:$V$353&gt;=31%)*(危旧房屋改造项目分表!$V$6:$V$353&lt;=89%)*危旧房屋改造项目分表!$L$6:$L$353),"")</f>
        <v>0</v>
      </c>
      <c r="H31" s="130">
        <f>IFERROR(SUMPRODUCT((危旧房屋改造项目分表!$B$6:$B$353=$H$3)*(危旧房屋改造项目分表!AG$6:$AG$353="否")*(危旧房屋改造项目分表!$O$6:$O$353="原址重建")*(危旧房屋改造项目分表!$V$6:$V$353&gt;=31%)*(危旧房屋改造项目分表!$V$6:$V$353&lt;=89%)*危旧房屋改造项目分表!$L$6:$L$353),"")</f>
        <v>0</v>
      </c>
      <c r="I31" s="130">
        <f>IFERROR(SUMPRODUCT((危旧房屋改造项目分表!$B$6:$B$353=$I$3)*(危旧房屋改造项目分表!AG$6:$AG$353="否")*(危旧房屋改造项目分表!$O$6:$O$353="原址重建")*(危旧房屋改造项目分表!$V$6:$V$353&gt;=31%)*(危旧房屋改造项目分表!$V$6:$V$353&lt;=89%)*危旧房屋改造项目分表!$L$6:$L$353),"")</f>
        <v>0</v>
      </c>
      <c r="J31" s="130">
        <f>IFERROR(SUMPRODUCT((危旧房屋改造项目分表!$B$6:$B$353=$J$3)*(危旧房屋改造项目分表!AG$6:$AG$353="否")*(危旧房屋改造项目分表!$O$6:$O$353="原址重建")*(危旧房屋改造项目分表!$V$6:$V$353&gt;=31%)*(危旧房屋改造项目分表!$V$6:$V$353&lt;=89%)*危旧房屋改造项目分表!$L$6:$L$353),"")</f>
        <v>0</v>
      </c>
      <c r="K31" s="130">
        <f>IFERROR(SUMPRODUCT((危旧房屋改造项目分表!$B$6:$B$353=$K$3)*(危旧房屋改造项目分表!AG$6:$AG$353="否")*(危旧房屋改造项目分表!$O$6:$O$353="原址重建")*(危旧房屋改造项目分表!$V$6:$V$353&gt;=31%)*(危旧房屋改造项目分表!$V$6:$V$353&lt;=89%)*危旧房屋改造项目分表!$L$6:$L$353),"")</f>
        <v>0</v>
      </c>
      <c r="L31" s="130">
        <f>IFERROR(SUMPRODUCT((危旧房屋改造项目分表!$B$6:$B$353=$L$3)*(危旧房屋改造项目分表!AG$6:$AG$353="否")*(危旧房屋改造项目分表!$O$6:$O$353="原址重建")*(危旧房屋改造项目分表!$V$6:$V$353&gt;=31%)*(危旧房屋改造项目分表!$V$6:$V$353&lt;=89%)*危旧房屋改造项目分表!$L$6:$L$353),"")</f>
        <v>0</v>
      </c>
      <c r="M31" s="130">
        <f>IFERROR(SUMPRODUCT((危旧房屋改造项目分表!$AG$6:AH$353="是")*(危旧房屋改造项目分表!$O$6:$O$353="原址重建")*(危旧房屋改造项目分表!$V$6:$V$353&gt;=31%)*(危旧房屋改造项目分表!$V$6:$V$353&lt;=89%)*危旧房屋改造项目分表!$L$6:$L$353),"")</f>
        <v>0</v>
      </c>
      <c r="N31" s="130">
        <f>SUM($D$31:$M$31)</f>
        <v>0</v>
      </c>
      <c r="O31" s="149">
        <f>IF(ISERROR(N31/$N$37),"",N31/$N$37)</f>
        <v>0</v>
      </c>
    </row>
    <row r="32" ht="15" customHeight="1" spans="1:15">
      <c r="A32" s="137"/>
      <c r="B32" s="140" t="s">
        <v>25</v>
      </c>
      <c r="C32" s="129" t="s">
        <v>17</v>
      </c>
      <c r="D32" s="130">
        <f>IFERROR(SUMPRODUCT((危旧房屋改造项目分表!$B$6:$B$353=$D$3)*(危旧房屋改造项目分表!AG$6:$AG$353="否")*(危旧房屋改造项目分表!$O$6:$O$353="原址重建")*(危旧房屋改造项目分表!$V$6:$V$353&gt;=90%)*危旧房屋改造项目分表!$AF$6:$AF$353),"")</f>
        <v>0</v>
      </c>
      <c r="E32" s="130">
        <f>IFERROR(SUMPRODUCT((危旧房屋改造项目分表!$B$6:$B$353=$E$3)*(危旧房屋改造项目分表!AG$6:$AG$353="否")*(危旧房屋改造项目分表!$O$6:$O$353="原址重建")*(危旧房屋改造项目分表!$V$6:$V$353&gt;=90%)*危旧房屋改造项目分表!$AF$6:$AF$353),"")</f>
        <v>0</v>
      </c>
      <c r="F32" s="130">
        <f>IFERROR(SUMPRODUCT((危旧房屋改造项目分表!$B$6:$B$353=$F$3)*(危旧房屋改造项目分表!AG$6:$AG$353="否")*(危旧房屋改造项目分表!$O$6:$O$353="原址重建")*(危旧房屋改造项目分表!$V$6:$V$353&gt;=90%)*危旧房屋改造项目分表!$AF$6:$AF$353),"")</f>
        <v>0</v>
      </c>
      <c r="G32" s="130">
        <f>IFERROR(SUMPRODUCT((危旧房屋改造项目分表!$B$6:$B$353=$G$3)*(危旧房屋改造项目分表!AG$6:$AG$353="否")*(危旧房屋改造项目分表!$O$6:$O$353="原址重建")*(危旧房屋改造项目分表!$V$6:$V$353&gt;=90%)*危旧房屋改造项目分表!$AF$6:$AF$353),"")</f>
        <v>0</v>
      </c>
      <c r="H32" s="130">
        <f>IFERROR(SUMPRODUCT((危旧房屋改造项目分表!$B$6:$B$353=$H$3)*(危旧房屋改造项目分表!AG$6:$AG$353="否")*(危旧房屋改造项目分表!$O$6:$O$353="原址重建")*(危旧房屋改造项目分表!$V$6:$V$353&gt;=90%)*危旧房屋改造项目分表!$AF$6:$AF$353),"")</f>
        <v>0</v>
      </c>
      <c r="I32" s="130">
        <f>IFERROR(SUMPRODUCT((危旧房屋改造项目分表!$B$6:$B$353=$I$3)*(危旧房屋改造项目分表!AG$6:$AG$353="否")*(危旧房屋改造项目分表!$O$6:$O$353="原址重建")*(危旧房屋改造项目分表!$V$6:$V$353&gt;=90%)*危旧房屋改造项目分表!$AF$6:$AF$353),"")</f>
        <v>0</v>
      </c>
      <c r="J32" s="130">
        <f>IFERROR(SUMPRODUCT((危旧房屋改造项目分表!$B$6:$B$353=$J$3)*(危旧房屋改造项目分表!AG$6:$AG$353="否")*(危旧房屋改造项目分表!$O$6:$O$353="原址重建")*(危旧房屋改造项目分表!$V$6:$V$353&gt;=90%)*危旧房屋改造项目分表!$AF$6:$AF$353),"")</f>
        <v>0</v>
      </c>
      <c r="K32" s="130">
        <f>IFERROR(SUMPRODUCT((危旧房屋改造项目分表!$B$6:$B$353=$K$3)*(危旧房屋改造项目分表!AG$6:$AG$353="否")*(危旧房屋改造项目分表!$O$6:$O$353="原址重建")*(危旧房屋改造项目分表!$V$6:$V$353&gt;=90%)*危旧房屋改造项目分表!$AF$6:$AF$353),"")</f>
        <v>0</v>
      </c>
      <c r="L32" s="130">
        <f>IFERROR(SUMPRODUCT((危旧房屋改造项目分表!$B$6:$B$353=$L$3)*(危旧房屋改造项目分表!AG$6:$AG$353="否")*(危旧房屋改造项目分表!$O$6:$O$353="原址重建")*(危旧房屋改造项目分表!$V$6:$V$353&gt;=90%)*危旧房屋改造项目分表!$AF$6:$AF$353),"")</f>
        <v>0</v>
      </c>
      <c r="M32" s="130">
        <f>IFERROR(SUMPRODUCT((危旧房屋改造项目分表!$AG$6:AH$353="是")*(危旧房屋改造项目分表!$O$6:$O$353="原址重建")*(危旧房屋改造项目分表!$V$6:$V$353&gt;=90%)*危旧房屋改造项目分表!$AF$6:$AF$353),"")</f>
        <v>4</v>
      </c>
      <c r="N32" s="130">
        <f>SUM($D$32:$M$32)</f>
        <v>4</v>
      </c>
      <c r="O32" s="149">
        <f>IF(ISERROR(N32/$N$35),"",N32/$N$35)</f>
        <v>0.0449438202247191</v>
      </c>
    </row>
    <row r="33" ht="15" customHeight="1" spans="1:15">
      <c r="A33" s="137"/>
      <c r="B33" s="140"/>
      <c r="C33" s="129" t="s">
        <v>18</v>
      </c>
      <c r="D33" s="130">
        <f>IFERROR(SUMPRODUCT((危旧房屋改造项目分表!$B$6:$B$353=$D$3)*(危旧房屋改造项目分表!AG$6:$AG$353="否")*(危旧房屋改造项目分表!$O$6:$O$353="原址重建")*(危旧房屋改造项目分表!$V$6:$V$353&gt;=90%)*危旧房屋改造项目分表!$K$6:$K$353),"")</f>
        <v>0</v>
      </c>
      <c r="E33" s="130">
        <f>IFERROR(SUMPRODUCT((危旧房屋改造项目分表!$B$6:$B$353=$E$3)*(危旧房屋改造项目分表!AG$6:$AG$353="否")*(危旧房屋改造项目分表!$O$6:$O$353="原址重建")*(危旧房屋改造项目分表!$V$6:$V$353&gt;=90%)*危旧房屋改造项目分表!$K$6:$K$353),"")</f>
        <v>0</v>
      </c>
      <c r="F33" s="130">
        <f>IFERROR(SUMPRODUCT((危旧房屋改造项目分表!$B$6:$B$353=$F$3)*(危旧房屋改造项目分表!AG$6:$AG$353="否")*(危旧房屋改造项目分表!$O$6:$O$353="原址重建")*(危旧房屋改造项目分表!$V$6:$V$353&gt;=90%)*危旧房屋改造项目分表!$K$6:$K$353),"")</f>
        <v>0</v>
      </c>
      <c r="G33" s="130">
        <f>IFERROR(SUMPRODUCT((危旧房屋改造项目分表!$B$6:$B$353=$G$3)*(危旧房屋改造项目分表!AG$6:$AG$353="否")*(危旧房屋改造项目分表!$O$6:$O$353="原址重建")*(危旧房屋改造项目分表!$V$6:$V$353&gt;=90%)*危旧房屋改造项目分表!$K$6:$K$353),"")</f>
        <v>0</v>
      </c>
      <c r="H33" s="130">
        <f>IFERROR(SUMPRODUCT((危旧房屋改造项目分表!$B$6:$B$353=$H$3)*(危旧房屋改造项目分表!AG$6:$AG$353="否")*(危旧房屋改造项目分表!$O$6:$O$353="原址重建")*(危旧房屋改造项目分表!$V$6:$V$353&gt;=90%)*危旧房屋改造项目分表!$K$6:$K$353),"")</f>
        <v>0</v>
      </c>
      <c r="I33" s="130">
        <f>IFERROR(SUMPRODUCT((危旧房屋改造项目分表!$B$6:$B$353=$I$3)*(危旧房屋改造项目分表!AG$6:$AG$353="否")*(危旧房屋改造项目分表!$O$6:$O$353="原址重建")*(危旧房屋改造项目分表!$V$6:$V$353&gt;=90%)*危旧房屋改造项目分表!$K$6:$K$353),"")</f>
        <v>0</v>
      </c>
      <c r="J33" s="130">
        <f>IFERROR(SUMPRODUCT((危旧房屋改造项目分表!$B$6:$B$353=$J$3)*(危旧房屋改造项目分表!AG$6:$AG$353="否")*(危旧房屋改造项目分表!$O$6:$O$353="原址重建")*(危旧房屋改造项目分表!$V$6:$V$353&gt;=90%)*危旧房屋改造项目分表!$K$6:$K$353),"")</f>
        <v>0</v>
      </c>
      <c r="K33" s="130">
        <f>IFERROR(SUMPRODUCT((危旧房屋改造项目分表!$B$6:$B$353=$K$3)*(危旧房屋改造项目分表!AG$6:$AG$353="否")*(危旧房屋改造项目分表!$O$6:$O$353="原址重建")*(危旧房屋改造项目分表!$V$6:$V$353&gt;=90%)*危旧房屋改造项目分表!$K$6:$K$353),"")</f>
        <v>0</v>
      </c>
      <c r="L33" s="130">
        <f>IFERROR(SUMPRODUCT((危旧房屋改造项目分表!$B$6:$B$353=$L$3)*(危旧房屋改造项目分表!AG$6:$AG$353="否")*(危旧房屋改造项目分表!$O$6:$O$353="原址重建")*(危旧房屋改造项目分表!$V$6:$V$353&gt;=90%)*危旧房屋改造项目分表!$K$6:$K$353),"")</f>
        <v>0</v>
      </c>
      <c r="M33" s="130">
        <f>IFERROR(SUMPRODUCT((危旧房屋改造项目分表!$AG$6:AH$353="是")*(危旧房屋改造项目分表!$O$6:$O$353="原址重建")*(危旧房屋改造项目分表!$V$6:$V$353&gt;=90%)*危旧房屋改造项目分表!$K$6:$K$353),"")</f>
        <v>5</v>
      </c>
      <c r="N33" s="130">
        <f>SUM($D$33:$M$33)</f>
        <v>5</v>
      </c>
      <c r="O33" s="149">
        <f>IF(ISERROR(N33/$N$36),"",N33/$N$36)</f>
        <v>0.00684931506849315</v>
      </c>
    </row>
    <row r="34" ht="15" customHeight="1" spans="1:15">
      <c r="A34" s="137"/>
      <c r="B34" s="140"/>
      <c r="C34" s="129" t="s">
        <v>19</v>
      </c>
      <c r="D34" s="130">
        <f>IFERROR(SUMPRODUCT((危旧房屋改造项目分表!$B$6:$B$353=$D$3)*(危旧房屋改造项目分表!AG$6:$AG$353="否")*(危旧房屋改造项目分表!$O$6:$O$353="原址重建")*(危旧房屋改造项目分表!$V$6:$V$353&gt;=90%)*危旧房屋改造项目分表!$L$6:$L$353),"")</f>
        <v>0</v>
      </c>
      <c r="E34" s="130">
        <f>IFERROR(SUMPRODUCT((危旧房屋改造项目分表!$B$6:$B$353=$E$3)*(危旧房屋改造项目分表!AG$6:$AG$353="否")*(危旧房屋改造项目分表!$O$6:$O$353="原址重建")*(危旧房屋改造项目分表!$V$6:$V$353&gt;=90%)*危旧房屋改造项目分表!$L$6:$L$353),"")</f>
        <v>0</v>
      </c>
      <c r="F34" s="130">
        <f>IFERROR(SUMPRODUCT((危旧房屋改造项目分表!$B$6:$B$353=$F$3)*(危旧房屋改造项目分表!AG$6:$AG$353="否")*(危旧房屋改造项目分表!$O$6:$O$353="原址重建")*(危旧房屋改造项目分表!$V$6:$V$353&gt;=90%)*危旧房屋改造项目分表!$L$6:$L$353),"")</f>
        <v>0</v>
      </c>
      <c r="G34" s="130">
        <f>IFERROR(SUMPRODUCT((危旧房屋改造项目分表!$B$6:$B$353=$G$3)*(危旧房屋改造项目分表!AG$6:$AG$353="否")*(危旧房屋改造项目分表!$O$6:$O$353="原址重建")*(危旧房屋改造项目分表!$V$6:$V$353&gt;=90%)*危旧房屋改造项目分表!$L$6:$L$353),"")</f>
        <v>0</v>
      </c>
      <c r="H34" s="130">
        <f>IFERROR(SUMPRODUCT((危旧房屋改造项目分表!$B$6:$B$353=$H$3)*(危旧房屋改造项目分表!AG$6:$AG$353="否")*(危旧房屋改造项目分表!$O$6:$O$353="原址重建")*(危旧房屋改造项目分表!$V$6:$V$353&gt;=90%)*危旧房屋改造项目分表!$L$6:$L$353),"")</f>
        <v>0</v>
      </c>
      <c r="I34" s="130">
        <f>IFERROR(SUMPRODUCT((危旧房屋改造项目分表!$B$6:$B$353=$I$3)*(危旧房屋改造项目分表!AG$6:$AG$353="否")*(危旧房屋改造项目分表!$O$6:$O$353="原址重建")*(危旧房屋改造项目分表!$V$6:$V$353&gt;=90%)*危旧房屋改造项目分表!$L$6:$L$353),"")</f>
        <v>0</v>
      </c>
      <c r="J34" s="130">
        <f>IFERROR(SUMPRODUCT((危旧房屋改造项目分表!$B$6:$B$353=$J$3)*(危旧房屋改造项目分表!AG$6:$AG$353="否")*(危旧房屋改造项目分表!$O$6:$O$353="原址重建")*(危旧房屋改造项目分表!$V$6:$V$353&gt;=90%)*危旧房屋改造项目分表!$L$6:$L$353),"")</f>
        <v>0</v>
      </c>
      <c r="K34" s="130">
        <f>IFERROR(SUMPRODUCT((危旧房屋改造项目分表!$B$6:$B$353=$K$3)*(危旧房屋改造项目分表!AG$6:$AG$353="否")*(危旧房屋改造项目分表!$O$6:$O$353="原址重建")*(危旧房屋改造项目分表!$V$6:$V$353&gt;=90%)*危旧房屋改造项目分表!$L$6:$L$353),"")</f>
        <v>0</v>
      </c>
      <c r="L34" s="130">
        <f>IFERROR(SUMPRODUCT((危旧房屋改造项目分表!$B$6:$B$353=$L$3)*(危旧房屋改造项目分表!AG$6:$AG$353="否")*(危旧房屋改造项目分表!$O$6:$O$353="原址重建")*(危旧房屋改造项目分表!$V$6:$V$353&gt;=90%)*危旧房屋改造项目分表!$L$6:$L$353),"")</f>
        <v>0</v>
      </c>
      <c r="M34" s="130">
        <f>IFERROR(SUMPRODUCT((危旧房屋改造项目分表!$AG$6:AH$353="是")*(危旧房屋改造项目分表!$O$6:$O$353="原址重建")*(危旧房屋改造项目分表!$V$6:$V$353&gt;=90%)*危旧房屋改造项目分表!$L$6:$L$353),"")</f>
        <v>155.32</v>
      </c>
      <c r="N34" s="130">
        <f>SUM($D$34:$M$34)</f>
        <v>155.32</v>
      </c>
      <c r="O34" s="149">
        <f>IF(ISERROR(N34/$N$37),"",N34/$N$37)</f>
        <v>0.00409528309448576</v>
      </c>
    </row>
    <row r="35" ht="15" customHeight="1" spans="1:15">
      <c r="A35" s="137"/>
      <c r="B35" s="129" t="s">
        <v>26</v>
      </c>
      <c r="C35" s="129" t="s">
        <v>17</v>
      </c>
      <c r="D35" s="141">
        <f t="shared" ref="D35:M35" si="2">D26+D29+D32+D23</f>
        <v>5</v>
      </c>
      <c r="E35" s="141">
        <f t="shared" si="2"/>
        <v>11</v>
      </c>
      <c r="F35" s="141">
        <f t="shared" si="2"/>
        <v>0</v>
      </c>
      <c r="G35" s="141">
        <f t="shared" si="2"/>
        <v>2</v>
      </c>
      <c r="H35" s="141">
        <f t="shared" si="2"/>
        <v>5</v>
      </c>
      <c r="I35" s="141">
        <f t="shared" si="2"/>
        <v>2</v>
      </c>
      <c r="J35" s="141">
        <f t="shared" si="2"/>
        <v>0</v>
      </c>
      <c r="K35" s="141">
        <f t="shared" si="2"/>
        <v>0</v>
      </c>
      <c r="L35" s="141">
        <f t="shared" si="2"/>
        <v>0</v>
      </c>
      <c r="M35" s="141">
        <f t="shared" si="2"/>
        <v>64</v>
      </c>
      <c r="N35" s="130">
        <f>SUM($D$35:$M$35)</f>
        <v>89</v>
      </c>
      <c r="O35" s="149">
        <f t="shared" ref="O35:O37" si="3">IF(ISERROR(N35/N4),"",N35/N4)</f>
        <v>0.255747126436782</v>
      </c>
    </row>
    <row r="36" ht="15" customHeight="1" spans="1:15">
      <c r="A36" s="137"/>
      <c r="B36" s="129"/>
      <c r="C36" s="129" t="s">
        <v>18</v>
      </c>
      <c r="D36" s="141">
        <f t="shared" ref="D36:M36" si="4">D27+D30+D33+D24</f>
        <v>34</v>
      </c>
      <c r="E36" s="141">
        <f t="shared" si="4"/>
        <v>218</v>
      </c>
      <c r="F36" s="141">
        <f t="shared" si="4"/>
        <v>0</v>
      </c>
      <c r="G36" s="141">
        <f t="shared" si="4"/>
        <v>5</v>
      </c>
      <c r="H36" s="141">
        <f t="shared" si="4"/>
        <v>172</v>
      </c>
      <c r="I36" s="141">
        <f t="shared" si="4"/>
        <v>26</v>
      </c>
      <c r="J36" s="141">
        <f t="shared" si="4"/>
        <v>0</v>
      </c>
      <c r="K36" s="141">
        <f t="shared" si="4"/>
        <v>0</v>
      </c>
      <c r="L36" s="141">
        <f t="shared" si="4"/>
        <v>0</v>
      </c>
      <c r="M36" s="141">
        <f t="shared" si="4"/>
        <v>275</v>
      </c>
      <c r="N36" s="130">
        <f>SUM($D$36:$M$36)</f>
        <v>730</v>
      </c>
      <c r="O36" s="149">
        <f t="shared" si="3"/>
        <v>0.202104097452935</v>
      </c>
    </row>
    <row r="37" ht="15" customHeight="1" spans="1:15">
      <c r="A37" s="142"/>
      <c r="B37" s="129"/>
      <c r="C37" s="129" t="s">
        <v>19</v>
      </c>
      <c r="D37" s="143">
        <f t="shared" ref="D37:M37" si="5">D28+D31+D34+D25</f>
        <v>1727.8</v>
      </c>
      <c r="E37" s="143">
        <f t="shared" si="5"/>
        <v>12248.83</v>
      </c>
      <c r="F37" s="143">
        <f t="shared" si="5"/>
        <v>0</v>
      </c>
      <c r="G37" s="143">
        <f t="shared" si="5"/>
        <v>172.93</v>
      </c>
      <c r="H37" s="143">
        <f t="shared" si="5"/>
        <v>11067.15</v>
      </c>
      <c r="I37" s="143">
        <f t="shared" si="5"/>
        <v>1327</v>
      </c>
      <c r="J37" s="143">
        <f t="shared" si="5"/>
        <v>0</v>
      </c>
      <c r="K37" s="143">
        <f t="shared" si="5"/>
        <v>0</v>
      </c>
      <c r="L37" s="143">
        <f t="shared" si="5"/>
        <v>0</v>
      </c>
      <c r="M37" s="143">
        <f t="shared" si="5"/>
        <v>11382.85</v>
      </c>
      <c r="N37" s="130">
        <f>SUM($D$37:$M$37)</f>
        <v>37926.56</v>
      </c>
      <c r="O37" s="149">
        <f t="shared" si="3"/>
        <v>0.216281898414475</v>
      </c>
    </row>
    <row r="38" ht="15" customHeight="1" spans="1:15">
      <c r="A38" s="135" t="s">
        <v>28</v>
      </c>
      <c r="B38" s="140" t="s">
        <v>22</v>
      </c>
      <c r="C38" s="129" t="s">
        <v>17</v>
      </c>
      <c r="D38" s="130">
        <f>IFERROR(SUMPRODUCT((危旧房屋改造项目分表!$B$6:$B$353=$D$3)*(危旧房屋改造项目分表!AG$6:$AG$353="否")*(危旧房屋改造项目分表!$O$6:$O$353="加面重建")*(危旧房屋改造项目分表!$V$6:$V$353&lt;=10%)*危旧房屋改造项目分表!$AF$6:$AF$353),"")</f>
        <v>0</v>
      </c>
      <c r="E38" s="130">
        <f>IFERROR(SUMPRODUCT((危旧房屋改造项目分表!$B$6:$B$353=$E$3)*(危旧房屋改造项目分表!AG$6:$AG$353="否")*(危旧房屋改造项目分表!$O$6:$O$353="加面重建")*(危旧房屋改造项目分表!$V$6:$V$353&lt;=10%)*危旧房屋改造项目分表!$AF$6:$AF$353),"")</f>
        <v>0</v>
      </c>
      <c r="F38" s="130">
        <f>IFERROR(SUMPRODUCT((危旧房屋改造项目分表!$B$6:$B$353=$F$3)*(危旧房屋改造项目分表!AG$6:$AG$353="否")*(危旧房屋改造项目分表!$O$6:$O$353="加面重建")*(危旧房屋改造项目分表!$V$6:$V$353&lt;=10%)*危旧房屋改造项目分表!$AF$6:$AF$353),"")</f>
        <v>0</v>
      </c>
      <c r="G38" s="130">
        <f>IFERROR(SUMPRODUCT((危旧房屋改造项目分表!$B$6:$B$353=$G$3)*(危旧房屋改造项目分表!AG$6:$AG$353="否")*(危旧房屋改造项目分表!$O$6:$O$353="加面重建")*(危旧房屋改造项目分表!$V$6:$V$353&lt;=10%)*危旧房屋改造项目分表!$AF$6:$AF$353),"")</f>
        <v>0</v>
      </c>
      <c r="H38" s="130">
        <f>IFERROR(SUMPRODUCT((危旧房屋改造项目分表!$B$6:$B$353=$H$3)*(危旧房屋改造项目分表!AG$6:$AG$353="否")*(危旧房屋改造项目分表!$O$6:$O$353="加面重建")*(危旧房屋改造项目分表!$V$6:$V$353&lt;=10%)*危旧房屋改造项目分表!$AF$6:$AF$353),"")</f>
        <v>0</v>
      </c>
      <c r="I38" s="130">
        <f>IFERROR(SUMPRODUCT((危旧房屋改造项目分表!$B$6:$B$353=$I$3)*(危旧房屋改造项目分表!AG$6:$AG$353="否")*(危旧房屋改造项目分表!$O$6:$O$353="加面重建")*(危旧房屋改造项目分表!$V$6:$V$353&lt;=10%)*危旧房屋改造项目分表!$AF$6:$AF$353),"")</f>
        <v>0</v>
      </c>
      <c r="J38" s="130">
        <f>IFERROR(SUMPRODUCT((危旧房屋改造项目分表!$B$6:$B$353=$J$3)*(危旧房屋改造项目分表!AG$6:$AG$353="否")*(危旧房屋改造项目分表!$O$6:$O$353="加面重建")*(危旧房屋改造项目分表!$V$6:$V$353&lt;=10%)*危旧房屋改造项目分表!$AF$6:$AF$353),"")</f>
        <v>0</v>
      </c>
      <c r="K38" s="130">
        <f>IFERROR(SUMPRODUCT((危旧房屋改造项目分表!$B$6:$B$353=$K$3)*(危旧房屋改造项目分表!AG$6:$AG$353="否")*(危旧房屋改造项目分表!$O$6:$O$353="加面重建")*(危旧房屋改造项目分表!$V$6:$V$353&lt;=10%)*危旧房屋改造项目分表!$AF$6:$AF$353),"")</f>
        <v>0</v>
      </c>
      <c r="L38" s="130">
        <f>IFERROR(SUMPRODUCT((危旧房屋改造项目分表!$B$6:$B$353=$L$3)*(危旧房屋改造项目分表!AG$6:$AG$353="否")*(危旧房屋改造项目分表!$O$6:$O$353="加面重建")*(危旧房屋改造项目分表!$V$6:$V$353&lt;=10%)*危旧房屋改造项目分表!$AF$6:$AF$353),"")</f>
        <v>0</v>
      </c>
      <c r="M38" s="130">
        <f>IFERROR(SUMPRODUCT((危旧房屋改造项目分表!$AG$6:AH$353="是")*(危旧房屋改造项目分表!$O$6:$O$353="加面重建")*(危旧房屋改造项目分表!$V$6:$V$353&lt;=10%)*危旧房屋改造项目分表!$AF$6:$AF$353),"")</f>
        <v>9</v>
      </c>
      <c r="N38" s="130">
        <f>SUM($D$38:$M$38)</f>
        <v>9</v>
      </c>
      <c r="O38" s="149">
        <f>IF(ISERROR(N38/$N$50),"",N38/$N$50)</f>
        <v>0.9</v>
      </c>
    </row>
    <row r="39" ht="15" customHeight="1" spans="1:15">
      <c r="A39" s="137"/>
      <c r="B39" s="140"/>
      <c r="C39" s="129" t="s">
        <v>18</v>
      </c>
      <c r="D39" s="130">
        <f>IFERROR(SUMPRODUCT((危旧房屋改造项目分表!$B$6:$B$353=$D$3)*(危旧房屋改造项目分表!AG$6:$AG$353="否")*(危旧房屋改造项目分表!$O$6:$O$353="加面重建")*(危旧房屋改造项目分表!$V$6:$V$353&lt;=10%)*危旧房屋改造项目分表!$K$6:$K$353),"")</f>
        <v>0</v>
      </c>
      <c r="E39" s="130">
        <f>IFERROR(SUMPRODUCT((危旧房屋改造项目分表!$B$6:$B$353=$E$3)*(危旧房屋改造项目分表!AG$6:$AG$353="否")*(危旧房屋改造项目分表!$O$6:$O$353="加面重建")*(危旧房屋改造项目分表!$V$6:$V$353&lt;=10%)*危旧房屋改造项目分表!$K$6:$K$353),"")</f>
        <v>0</v>
      </c>
      <c r="F39" s="130">
        <f>IFERROR(SUMPRODUCT((危旧房屋改造项目分表!$B$6:$B$353=$F$3)*(危旧房屋改造项目分表!AG$6:$AG$353="否")*(危旧房屋改造项目分表!$O$6:$O$353="加面重建")*(危旧房屋改造项目分表!$V$6:$V$353&lt;=10%)*危旧房屋改造项目分表!$K$6:$K$353),"")</f>
        <v>0</v>
      </c>
      <c r="G39" s="130">
        <f>IFERROR(SUMPRODUCT((危旧房屋改造项目分表!$B$6:$B$353=$G$3)*(危旧房屋改造项目分表!AG$6:$AG$353="否")*(危旧房屋改造项目分表!$O$6:$O$353="加面重建")*(危旧房屋改造项目分表!$V$6:$V$353&lt;=10%)*危旧房屋改造项目分表!$K$6:$K$353),"")</f>
        <v>0</v>
      </c>
      <c r="H39" s="130">
        <f>IFERROR(SUMPRODUCT((危旧房屋改造项目分表!$B$6:$B$353=$H$3)*(危旧房屋改造项目分表!AG$6:$AG$353="否")*(危旧房屋改造项目分表!$O$6:$O$353="加面重建")*(危旧房屋改造项目分表!$V$6:$V$353&lt;=10%)*危旧房屋改造项目分表!$K$6:$K$353),"")</f>
        <v>0</v>
      </c>
      <c r="I39" s="130">
        <f>IFERROR(SUMPRODUCT((危旧房屋改造项目分表!$B$6:$B$353=$I$3)*(危旧房屋改造项目分表!AG$6:$AG$353="否")*(危旧房屋改造项目分表!$O$6:$O$353="加面重建")*(危旧房屋改造项目分表!$V$6:$V$353&lt;=10%)*危旧房屋改造项目分表!$K$6:$K$353),"")</f>
        <v>0</v>
      </c>
      <c r="J39" s="130">
        <f>IFERROR(SUMPRODUCT((危旧房屋改造项目分表!$B$6:$B$353=$J$3)*(危旧房屋改造项目分表!AG$6:$AG$353="否")*(危旧房屋改造项目分表!$O$6:$O$353="加面重建")*(危旧房屋改造项目分表!$V$6:$V$353&lt;=10%)*危旧房屋改造项目分表!$K$6:$K$353),"")</f>
        <v>0</v>
      </c>
      <c r="K39" s="130">
        <f>IFERROR(SUMPRODUCT((危旧房屋改造项目分表!$B$6:$B$353=$K$3)*(危旧房屋改造项目分表!AG$6:$AG$353="否")*(危旧房屋改造项目分表!$O$6:$O$353="加面重建")*(危旧房屋改造项目分表!$V$6:$V$353&lt;=10%)*危旧房屋改造项目分表!$K$6:$K$353),"")</f>
        <v>0</v>
      </c>
      <c r="L39" s="130">
        <f>IFERROR(SUMPRODUCT((危旧房屋改造项目分表!$B$6:$B$353=$L$3)*(危旧房屋改造项目分表!AG$6:$AG$353="否")*(危旧房屋改造项目分表!$O$6:$O$353="加面重建")*(危旧房屋改造项目分表!$V$6:$V$353&lt;=10%)*危旧房屋改造项目分表!$K$6:$K$353),"")</f>
        <v>0</v>
      </c>
      <c r="M39" s="130">
        <f>IFERROR(SUMPRODUCT((危旧房屋改造项目分表!$AG$6:AH$353="是")*(危旧房屋改造项目分表!$O$6:$O$353="加面重建")*(危旧房屋改造项目分表!$V$6:$V$353&lt;=10%)*危旧房屋改造项目分表!$K$6:$K$353),"")</f>
        <v>43</v>
      </c>
      <c r="N39" s="130">
        <f>SUM($D$39:$M$39)</f>
        <v>43</v>
      </c>
      <c r="O39" s="149">
        <f>IF(ISERROR(N39/$N$51),"",N39/$N$51)</f>
        <v>0.977272727272727</v>
      </c>
    </row>
    <row r="40" ht="15" customHeight="1" spans="1:15">
      <c r="A40" s="137"/>
      <c r="B40" s="140"/>
      <c r="C40" s="129" t="s">
        <v>19</v>
      </c>
      <c r="D40" s="130">
        <f>IFERROR(SUMPRODUCT((危旧房屋改造项目分表!$B$6:$B$353=$D$3)*(危旧房屋改造项目分表!AG$6:$AG$353="否")*(危旧房屋改造项目分表!$O$6:$O$353="加面重建")*(危旧房屋改造项目分表!$V$6:$V$353&lt;=10%)*危旧房屋改造项目分表!$L$6:$L$353),"")</f>
        <v>0</v>
      </c>
      <c r="E40" s="130">
        <f>IFERROR(SUMPRODUCT((危旧房屋改造项目分表!$B$6:$B$353=$E$3)*(危旧房屋改造项目分表!AG$6:$AG$353="否")*(危旧房屋改造项目分表!$O$6:$O$353="加面重建")*(危旧房屋改造项目分表!$V$6:$V$353&lt;=10%)*危旧房屋改造项目分表!$L$6:$L$353),"")</f>
        <v>0</v>
      </c>
      <c r="F40" s="130">
        <f>IFERROR(SUMPRODUCT((危旧房屋改造项目分表!$B$6:$B$353=$F$3)*(危旧房屋改造项目分表!AG$6:$AG$353="否")*(危旧房屋改造项目分表!$O$6:$O$353="加面重建")*(危旧房屋改造项目分表!$V$6:$V$353&lt;=10%)*危旧房屋改造项目分表!$L$6:$L$353),"")</f>
        <v>0</v>
      </c>
      <c r="G40" s="130">
        <f>IFERROR(SUMPRODUCT((危旧房屋改造项目分表!$B$6:$B$353=$G$3)*(危旧房屋改造项目分表!AG$6:$AG$353="否")*(危旧房屋改造项目分表!$O$6:$O$353="加面重建")*(危旧房屋改造项目分表!$V$6:$V$353&lt;=10%)*危旧房屋改造项目分表!$L$6:$L$353),"")</f>
        <v>0</v>
      </c>
      <c r="H40" s="130">
        <f>IFERROR(SUMPRODUCT((危旧房屋改造项目分表!$B$6:$B$353=$H$3)*(危旧房屋改造项目分表!AG$6:$AG$353="否")*(危旧房屋改造项目分表!$O$6:$O$353="加面重建")*(危旧房屋改造项目分表!$V$6:$V$353&lt;=10%)*危旧房屋改造项目分表!$L$6:$L$353),"")</f>
        <v>0</v>
      </c>
      <c r="I40" s="130">
        <f>IFERROR(SUMPRODUCT((危旧房屋改造项目分表!$B$6:$B$353=$I$3)*(危旧房屋改造项目分表!AG$6:$AG$353="否")*(危旧房屋改造项目分表!$O$6:$O$353="加面重建")*(危旧房屋改造项目分表!$V$6:$V$353&lt;=10%)*危旧房屋改造项目分表!$L$6:$L$353),"")</f>
        <v>0</v>
      </c>
      <c r="J40" s="130">
        <f>IFERROR(SUMPRODUCT((危旧房屋改造项目分表!$B$6:$B$353=$J$3)*(危旧房屋改造项目分表!AG$6:$AG$353="否")*(危旧房屋改造项目分表!$O$6:$O$353="加面重建")*(危旧房屋改造项目分表!$V$6:$V$353&lt;=10%)*危旧房屋改造项目分表!$L$6:$L$353),"")</f>
        <v>0</v>
      </c>
      <c r="K40" s="130">
        <f>IFERROR(SUMPRODUCT((危旧房屋改造项目分表!$B$6:$B$353=$K$3)*(危旧房屋改造项目分表!AG$6:$AG$353="否")*(危旧房屋改造项目分表!$O$6:$O$353="加面重建")*(危旧房屋改造项目分表!$V$6:$V$353&lt;=10%)*危旧房屋改造项目分表!$L$6:$L$353),"")</f>
        <v>0</v>
      </c>
      <c r="L40" s="130">
        <f>IFERROR(SUMPRODUCT((危旧房屋改造项目分表!$B$6:$B$353=$L$3)*(危旧房屋改造项目分表!AG$6:$AG$353="否")*(危旧房屋改造项目分表!$O$6:$O$353="加面重建")*(危旧房屋改造项目分表!$V$6:$V$353&lt;=10%)*危旧房屋改造项目分表!$L$6:$L$353),"")</f>
        <v>0</v>
      </c>
      <c r="M40" s="130">
        <f>IFERROR(SUMPRODUCT((危旧房屋改造项目分表!$AG$6:AH$353="是")*(危旧房屋改造项目分表!$O$6:$O$353="加面重建")*(危旧房屋改造项目分表!$V$6:$V$353&lt;=10%)*危旧房屋改造项目分表!$L$6:$L$353),"")</f>
        <v>1461.34</v>
      </c>
      <c r="N40" s="130">
        <f>SUM($D$40:$M$40)</f>
        <v>1461.34</v>
      </c>
      <c r="O40" s="149">
        <f>IF(ISERROR(N40/$N$52),"",N40/$N$52)</f>
        <v>0.859288267946185</v>
      </c>
    </row>
    <row r="41" ht="15" customHeight="1" spans="1:15">
      <c r="A41" s="137"/>
      <c r="B41" s="140" t="s">
        <v>23</v>
      </c>
      <c r="C41" s="129" t="s">
        <v>17</v>
      </c>
      <c r="D41" s="130">
        <f>IFERROR(SUMPRODUCT((危旧房屋改造项目分表!$B$6:$B$353=$D$3)*(危旧房屋改造项目分表!AG$6:$AG$353="否")*(危旧房屋改造项目分表!$O$6:$O$353="加面重建")*(危旧房屋改造项目分表!$V$6:$V$353&gt;=11%)*(危旧房屋改造项目分表!$V$6:$V$353&lt;=30%)*危旧房屋改造项目分表!$AF$6:$AF$353),"")</f>
        <v>0</v>
      </c>
      <c r="E41" s="130">
        <f>IFERROR(SUMPRODUCT((危旧房屋改造项目分表!$B$6:$B$353=$E$3)*(危旧房屋改造项目分表!AG$6:$AG$353="否")*(危旧房屋改造项目分表!$O$6:$O$353="加面重建")*(危旧房屋改造项目分表!$V$6:$V$353&gt;=11%)*(危旧房屋改造项目分表!$V$6:$V$353&lt;=30%)*危旧房屋改造项目分表!$AF$6:$AF$353),"")</f>
        <v>0</v>
      </c>
      <c r="F41" s="130">
        <f>IFERROR(SUMPRODUCT((危旧房屋改造项目分表!$B$6:$B$353=$F$3)*(危旧房屋改造项目分表!AG$6:$AG$353="否")*(危旧房屋改造项目分表!$O$6:$O$353="加面重建")*(危旧房屋改造项目分表!$V$6:$V$353&gt;=11%)*(危旧房屋改造项目分表!$V$6:$V$353&lt;=30%)*危旧房屋改造项目分表!$AF$6:$AF$353),"")</f>
        <v>0</v>
      </c>
      <c r="G41" s="130">
        <f>IFERROR(SUMPRODUCT((危旧房屋改造项目分表!$B$6:$B$353=$G$3)*(危旧房屋改造项目分表!AG$6:$AG$353="否")*(危旧房屋改造项目分表!$O$6:$O$353="加面重建")*(危旧房屋改造项目分表!$V$6:$V$353&gt;=11%)*(危旧房屋改造项目分表!$V$6:$V$353&lt;=30%)*危旧房屋改造项目分表!$AF$6:$AF$353),"")</f>
        <v>0</v>
      </c>
      <c r="H41" s="130">
        <f>IFERROR(SUMPRODUCT((危旧房屋改造项目分表!$B$6:$B$353=$H$3)*(危旧房屋改造项目分表!AG$6:$AG$353="否")*(危旧房屋改造项目分表!$O$6:$O$353="加面重建")*(危旧房屋改造项目分表!$V$6:$V$353&gt;=11%)*(危旧房屋改造项目分表!$V$6:$V$353&lt;=30%)*危旧房屋改造项目分表!$AF$6:$AF$353),"")</f>
        <v>0</v>
      </c>
      <c r="I41" s="130">
        <f>IFERROR(SUMPRODUCT((危旧房屋改造项目分表!$B$6:$B$353=$I$3)*(危旧房屋改造项目分表!AG$6:$AG$353="否")*(危旧房屋改造项目分表!$O$6:$O$353="加面重建")*(危旧房屋改造项目分表!$V$6:$V$353&gt;=11%)*(危旧房屋改造项目分表!$V$6:$V$353&lt;=30%)*危旧房屋改造项目分表!$AF$6:$AF$353),"")</f>
        <v>0</v>
      </c>
      <c r="J41" s="130">
        <f>IFERROR(SUMPRODUCT((危旧房屋改造项目分表!$B$6:$B$353=$J$3)*(危旧房屋改造项目分表!AG$6:$AG$353="否")*(危旧房屋改造项目分表!$O$6:$O$353="加面重建")*(危旧房屋改造项目分表!$V$6:$V$353&gt;=11%)*(危旧房屋改造项目分表!$V$6:$V$353&lt;=30%)*危旧房屋改造项目分表!$AF$6:$AF$353),"")</f>
        <v>0</v>
      </c>
      <c r="K41" s="130">
        <f>IFERROR(SUMPRODUCT((危旧房屋改造项目分表!$B$6:$B$353=$K$3)*(危旧房屋改造项目分表!AG$6:$AG$353="否")*(危旧房屋改造项目分表!$O$6:$O$353="加面重建")*(危旧房屋改造项目分表!$V$6:$V$353&gt;=11%)*(危旧房屋改造项目分表!$V$6:$V$353&lt;=30%)*危旧房屋改造项目分表!$AF$6:$AF$353),"")</f>
        <v>0</v>
      </c>
      <c r="L41" s="130">
        <f>IFERROR(SUMPRODUCT((危旧房屋改造项目分表!$B$6:$B$353=$L$3)*(危旧房屋改造项目分表!AG$6:$AG$353="否")*(危旧房屋改造项目分表!$O$6:$O$353="加面重建")*(危旧房屋改造项目分表!$V$6:$V$353&gt;=11%)*(危旧房屋改造项目分表!$V$6:$V$353&lt;=30%)*危旧房屋改造项目分表!$AF$6:$AF$353),"")</f>
        <v>0</v>
      </c>
      <c r="M41" s="130">
        <f>IFERROR(SUMPRODUCT((危旧房屋改造项目分表!$AG$6:AH$353="是")*(危旧房屋改造项目分表!$O$6:$O$353="加面重建")*(危旧房屋改造项目分表!$V$6:$V$353&gt;=11%)*(危旧房屋改造项目分表!$V$6:$V$353&lt;=30%)*危旧房屋改造项目分表!$AF$6:$AF$353),"")</f>
        <v>1</v>
      </c>
      <c r="N41" s="130">
        <f>SUM($D$41:$M$41)</f>
        <v>1</v>
      </c>
      <c r="O41" s="149">
        <f>IF(ISERROR(N41/$N$50),"",N41/$N$50)</f>
        <v>0.1</v>
      </c>
    </row>
    <row r="42" ht="15" customHeight="1" spans="1:15">
      <c r="A42" s="137"/>
      <c r="B42" s="140"/>
      <c r="C42" s="129" t="s">
        <v>18</v>
      </c>
      <c r="D42" s="130">
        <f>IFERROR(SUMPRODUCT((危旧房屋改造项目分表!$B$6:$B$353=$D$3)*(危旧房屋改造项目分表!AG$6:$AG$353="否")*(危旧房屋改造项目分表!$O$6:$O$353="加面重建")*(危旧房屋改造项目分表!$V$6:$V$353&gt;=11%)*(危旧房屋改造项目分表!$V$6:$V$353&lt;=30%)*危旧房屋改造项目分表!$K$6:$K$353),"")</f>
        <v>0</v>
      </c>
      <c r="E42" s="130">
        <f>IFERROR(SUMPRODUCT((危旧房屋改造项目分表!$B$6:$B$353=$E$3)*(危旧房屋改造项目分表!AG$6:$AG$353="否")*(危旧房屋改造项目分表!$O$6:$O$353="加面重建")*(危旧房屋改造项目分表!$V$6:$V$353&gt;=11%)*(危旧房屋改造项目分表!$V$6:$V$353&lt;=30%)*危旧房屋改造项目分表!$K$6:$K$353),"")</f>
        <v>0</v>
      </c>
      <c r="F42" s="130">
        <f>IFERROR(SUMPRODUCT((危旧房屋改造项目分表!$B$6:$B$353=$F$3)*(危旧房屋改造项目分表!AG$6:$AG$353="否")*(危旧房屋改造项目分表!$O$6:$O$353="加面重建")*(危旧房屋改造项目分表!$V$6:$V$353&gt;=11%)*(危旧房屋改造项目分表!$V$6:$V$353&lt;=30%)*危旧房屋改造项目分表!$K$6:$K$353),"")</f>
        <v>0</v>
      </c>
      <c r="G42" s="130">
        <f>IFERROR(SUMPRODUCT((危旧房屋改造项目分表!$B$6:$B$353=$G$3)*(危旧房屋改造项目分表!AG$6:$AG$353="否")*(危旧房屋改造项目分表!$O$6:$O$353="加面重建")*(危旧房屋改造项目分表!$V$6:$V$353&gt;=11%)*(危旧房屋改造项目分表!$V$6:$V$353&lt;=30%)*危旧房屋改造项目分表!$K$6:$K$353),"")</f>
        <v>0</v>
      </c>
      <c r="H42" s="130">
        <f>IFERROR(SUMPRODUCT((危旧房屋改造项目分表!$B$6:$B$353=$H$3)*(危旧房屋改造项目分表!AG$6:$AG$353="否")*(危旧房屋改造项目分表!$O$6:$O$353="加面重建")*(危旧房屋改造项目分表!$V$6:$V$353&gt;=11%)*(危旧房屋改造项目分表!$V$6:$V$353&lt;=30%)*危旧房屋改造项目分表!$K$6:$K$353),"")</f>
        <v>0</v>
      </c>
      <c r="I42" s="130">
        <f>IFERROR(SUMPRODUCT((危旧房屋改造项目分表!$B$6:$B$353=$I$3)*(危旧房屋改造项目分表!AG$6:$AG$353="否")*(危旧房屋改造项目分表!$O$6:$O$353="加面重建")*(危旧房屋改造项目分表!$V$6:$V$353&gt;=11%)*(危旧房屋改造项目分表!$V$6:$V$353&lt;=30%)*危旧房屋改造项目分表!$K$6:$K$353),"")</f>
        <v>0</v>
      </c>
      <c r="J42" s="130">
        <f>IFERROR(SUMPRODUCT((危旧房屋改造项目分表!$B$6:$B$353=$J$3)*(危旧房屋改造项目分表!AG$6:$AG$353="否")*(危旧房屋改造项目分表!$O$6:$O$353="加面重建")*(危旧房屋改造项目分表!$V$6:$V$353&gt;=11%)*(危旧房屋改造项目分表!$V$6:$V$353&lt;=30%)*危旧房屋改造项目分表!$K$6:$K$353),"")</f>
        <v>0</v>
      </c>
      <c r="K42" s="130">
        <f>IFERROR(SUMPRODUCT((危旧房屋改造项目分表!$B$6:$B$353=$K$3)*(危旧房屋改造项目分表!AG$6:$AG$353="否")*(危旧房屋改造项目分表!$O$6:$O$353="加面重建")*(危旧房屋改造项目分表!$V$6:$V$353&gt;=11%)*(危旧房屋改造项目分表!$V$6:$V$353&lt;=30%)*危旧房屋改造项目分表!$K$6:$K$353),"")</f>
        <v>0</v>
      </c>
      <c r="L42" s="130">
        <f>IFERROR(SUMPRODUCT((危旧房屋改造项目分表!$B$6:$B$353=$L$3)*(危旧房屋改造项目分表!AG$6:$AG$353="否")*(危旧房屋改造项目分表!$O$6:$O$353="加面重建")*(危旧房屋改造项目分表!$V$6:$V$353&gt;=11%)*(危旧房屋改造项目分表!$V$6:$V$353&lt;=30%)*危旧房屋改造项目分表!$K$6:$K$353),"")</f>
        <v>0</v>
      </c>
      <c r="M42" s="130">
        <f>IFERROR(SUMPRODUCT((危旧房屋改造项目分表!$AG$6:AH$353="是")*(危旧房屋改造项目分表!$O$6:$O$353="加面重建")*(危旧房屋改造项目分表!$V$6:$V$353&gt;=11%)*(危旧房屋改造项目分表!$V$6:$V$353&lt;=30%)*危旧房屋改造项目分表!$K$6:$K$353),"")</f>
        <v>1</v>
      </c>
      <c r="N42" s="130">
        <f>SUM($D$42:$M$42)</f>
        <v>1</v>
      </c>
      <c r="O42" s="149">
        <f>IF(ISERROR(N42/$N$51),"",N42/$N$51)</f>
        <v>0.0227272727272727</v>
      </c>
    </row>
    <row r="43" ht="15" customHeight="1" spans="1:15">
      <c r="A43" s="137"/>
      <c r="B43" s="140"/>
      <c r="C43" s="129" t="s">
        <v>19</v>
      </c>
      <c r="D43" s="130">
        <f>IFERROR(SUMPRODUCT((危旧房屋改造项目分表!$B$6:$B$353=$D$3)*(危旧房屋改造项目分表!AG$6:$AG$353="否")*(危旧房屋改造项目分表!$O$6:$O$353="加面重建")*(危旧房屋改造项目分表!$V$6:$V$353&gt;=11%)*(危旧房屋改造项目分表!$V$6:$V$353&lt;=30%)*危旧房屋改造项目分表!$L$6:$L$353),"")</f>
        <v>0</v>
      </c>
      <c r="E43" s="130">
        <f>IFERROR(SUMPRODUCT((危旧房屋改造项目分表!$B$6:$B$353=$E$3)*(危旧房屋改造项目分表!AG$6:$AG$353="否")*(危旧房屋改造项目分表!$O$6:$O$353="加面重建")*(危旧房屋改造项目分表!$V$6:$V$353&gt;=11%)*(危旧房屋改造项目分表!$V$6:$V$353&lt;=30%)*危旧房屋改造项目分表!$L$6:$L$353),"")</f>
        <v>0</v>
      </c>
      <c r="F43" s="130">
        <f>IFERROR(SUMPRODUCT((危旧房屋改造项目分表!$B$6:$B$353=$F$3)*(危旧房屋改造项目分表!AG$6:$AG$353="否")*(危旧房屋改造项目分表!$O$6:$O$353="加面重建")*(危旧房屋改造项目分表!$V$6:$V$353&gt;=11%)*(危旧房屋改造项目分表!$V$6:$V$353&lt;=30%)*危旧房屋改造项目分表!$L$6:$L$353),"")</f>
        <v>0</v>
      </c>
      <c r="G43" s="130">
        <f>IFERROR(SUMPRODUCT((危旧房屋改造项目分表!$B$6:$B$353=$G$3)*(危旧房屋改造项目分表!AG$6:$AG$353="否")*(危旧房屋改造项目分表!$O$6:$O$353="加面重建")*(危旧房屋改造项目分表!$V$6:$V$353&gt;=11%)*(危旧房屋改造项目分表!$V$6:$V$353&lt;=30%)*危旧房屋改造项目分表!$L$6:$L$353),"")</f>
        <v>0</v>
      </c>
      <c r="H43" s="130">
        <f>IFERROR(SUMPRODUCT((危旧房屋改造项目分表!$B$6:$B$353=$H$3)*(危旧房屋改造项目分表!AG$6:$AG$353="否")*(危旧房屋改造项目分表!$O$6:$O$353="加面重建")*(危旧房屋改造项目分表!$V$6:$V$353&gt;=11%)*(危旧房屋改造项目分表!$V$6:$V$353&lt;=30%)*危旧房屋改造项目分表!$L$6:$L$353),"")</f>
        <v>0</v>
      </c>
      <c r="I43" s="130">
        <f>IFERROR(SUMPRODUCT((危旧房屋改造项目分表!$B$6:$B$353=$I$3)*(危旧房屋改造项目分表!AG$6:$AG$353="否")*(危旧房屋改造项目分表!$O$6:$O$353="加面重建")*(危旧房屋改造项目分表!$V$6:$V$353&gt;=11%)*(危旧房屋改造项目分表!$V$6:$V$353&lt;=30%)*危旧房屋改造项目分表!$L$6:$L$353),"")</f>
        <v>0</v>
      </c>
      <c r="J43" s="130">
        <f>IFERROR(SUMPRODUCT((危旧房屋改造项目分表!$B$6:$B$353=$J$3)*(危旧房屋改造项目分表!AG$6:$AG$353="否")*(危旧房屋改造项目分表!$O$6:$O$353="加面重建")*(危旧房屋改造项目分表!$V$6:$V$353&gt;=11%)*(危旧房屋改造项目分表!$V$6:$V$353&lt;=30%)*危旧房屋改造项目分表!$L$6:$L$353),"")</f>
        <v>0</v>
      </c>
      <c r="K43" s="130">
        <f>IFERROR(SUMPRODUCT((危旧房屋改造项目分表!$B$6:$B$353=$K$3)*(危旧房屋改造项目分表!AG$6:$AG$353="否")*(危旧房屋改造项目分表!$O$6:$O$353="加面重建")*(危旧房屋改造项目分表!$V$6:$V$353&gt;=11%)*(危旧房屋改造项目分表!$V$6:$V$353&lt;=30%)*危旧房屋改造项目分表!$L$6:$L$353),"")</f>
        <v>0</v>
      </c>
      <c r="L43" s="130">
        <f>IFERROR(SUMPRODUCT((危旧房屋改造项目分表!$B$6:$B$353=$L$3)*(危旧房屋改造项目分表!AG$6:$AG$353="否")*(危旧房屋改造项目分表!$O$6:$O$353="加面重建")*(危旧房屋改造项目分表!$V$6:$V$353&gt;=11%)*(危旧房屋改造项目分表!$V$6:$V$353&lt;=30%)*危旧房屋改造项目分表!$L$6:$L$353),"")</f>
        <v>0</v>
      </c>
      <c r="M43" s="130">
        <f>IFERROR(SUMPRODUCT((危旧房屋改造项目分表!$AG$6:AH$353="是")*(危旧房屋改造项目分表!$O$6:$O$353="加面重建")*(危旧房屋改造项目分表!$V$6:$V$353&gt;=11%)*(危旧房屋改造项目分表!$V$6:$V$353&lt;=30%)*危旧房屋改造项目分表!$L$6:$L$353),"")</f>
        <v>239.3</v>
      </c>
      <c r="N43" s="130">
        <f>SUM($D$43:$M$43)</f>
        <v>239.3</v>
      </c>
      <c r="O43" s="149">
        <f>IF(ISERROR(N43/$N$52),"",N43/$N$52)</f>
        <v>0.140711732053815</v>
      </c>
    </row>
    <row r="44" ht="15" customHeight="1" spans="1:15">
      <c r="A44" s="137"/>
      <c r="B44" s="140" t="s">
        <v>24</v>
      </c>
      <c r="C44" s="129" t="s">
        <v>17</v>
      </c>
      <c r="D44" s="130">
        <f>IFERROR(SUMPRODUCT((危旧房屋改造项目分表!$B$6:$B$353=$D$3)*(危旧房屋改造项目分表!AG$6:$AG$353="否")*(危旧房屋改造项目分表!$O$6:$O$353="加面重建")*(危旧房屋改造项目分表!$V$6:$V$353&gt;=31%)*(危旧房屋改造项目分表!$V$6:$V$353&lt;=89%)*危旧房屋改造项目分表!$AF$6:$AF$353),"")</f>
        <v>0</v>
      </c>
      <c r="E44" s="130">
        <f>IFERROR(SUMPRODUCT((危旧房屋改造项目分表!$B$6:$B$353=$E$3)*(危旧房屋改造项目分表!AG$6:$AG$353="否")*(危旧房屋改造项目分表!$O$6:$O$353="加面重建")*(危旧房屋改造项目分表!$V$6:$V$353&gt;=31%)*(危旧房屋改造项目分表!$V$6:$V$353&lt;=89%)*危旧房屋改造项目分表!$AF$6:$AF$353),"")</f>
        <v>0</v>
      </c>
      <c r="F44" s="130">
        <f>IFERROR(SUMPRODUCT((危旧房屋改造项目分表!$B$6:$B$353=$F$3)*(危旧房屋改造项目分表!AG$6:$AG$353="否")*(危旧房屋改造项目分表!$O$6:$O$353="加面重建")*(危旧房屋改造项目分表!$V$6:$V$353&gt;=31%)*(危旧房屋改造项目分表!$V$6:$V$353&lt;=89%)*危旧房屋改造项目分表!$AF$6:$AF$353),"")</f>
        <v>0</v>
      </c>
      <c r="G44" s="130">
        <f>IFERROR(SUMPRODUCT((危旧房屋改造项目分表!$B$6:$B$353=$G$3)*(危旧房屋改造项目分表!AG$6:$AG$353="否")*(危旧房屋改造项目分表!$O$6:$O$353="加面重建")*(危旧房屋改造项目分表!$V$6:$V$353&gt;=31%)*(危旧房屋改造项目分表!$V$6:$V$353&lt;=89%)*危旧房屋改造项目分表!$AF$6:$AF$353),"")</f>
        <v>0</v>
      </c>
      <c r="H44" s="130">
        <f>IFERROR(SUMPRODUCT((危旧房屋改造项目分表!$B$6:$B$353=$H$3)*(危旧房屋改造项目分表!AG$6:$AG$353="否")*(危旧房屋改造项目分表!$O$6:$O$353="加面重建")*(危旧房屋改造项目分表!$V$6:$V$353&gt;=31%)*(危旧房屋改造项目分表!$V$6:$V$353&lt;=89%)*危旧房屋改造项目分表!$AF$6:$AF$353),"")</f>
        <v>0</v>
      </c>
      <c r="I44" s="130">
        <f>IFERROR(SUMPRODUCT((危旧房屋改造项目分表!$B$6:$B$353=$I$3)*(危旧房屋改造项目分表!AG$6:$AG$353="否")*(危旧房屋改造项目分表!$O$6:$O$353="加面重建")*(危旧房屋改造项目分表!$V$6:$V$353&gt;=31%)*(危旧房屋改造项目分表!$V$6:$V$353&lt;=89%)*危旧房屋改造项目分表!$AF$6:$AF$353),"")</f>
        <v>0</v>
      </c>
      <c r="J44" s="130">
        <f>IFERROR(SUMPRODUCT((危旧房屋改造项目分表!$B$6:$B$353=$J$3)*(危旧房屋改造项目分表!AG$6:$AG$353="否")*(危旧房屋改造项目分表!$O$6:$O$353="加面重建")*(危旧房屋改造项目分表!$V$6:$V$353&gt;=31%)*(危旧房屋改造项目分表!$V$6:$V$353&lt;=89%)*危旧房屋改造项目分表!$AF$6:$AF$353),"")</f>
        <v>0</v>
      </c>
      <c r="K44" s="130">
        <f>IFERROR(SUMPRODUCT((危旧房屋改造项目分表!$B$6:$B$353=$K$3)*(危旧房屋改造项目分表!AG$6:$AG$353="否")*(危旧房屋改造项目分表!$O$6:$O$353="加面重建")*(危旧房屋改造项目分表!$V$6:$V$353&gt;=31%)*(危旧房屋改造项目分表!$V$6:$V$353&lt;=89%)*危旧房屋改造项目分表!$AF$6:$AF$353),"")</f>
        <v>0</v>
      </c>
      <c r="L44" s="130">
        <f>IFERROR(SUMPRODUCT((危旧房屋改造项目分表!$B$6:$B$353=$L$3)*(危旧房屋改造项目分表!AG$6:$AG$353="否")*(危旧房屋改造项目分表!$O$6:$O$353="加面重建")*(危旧房屋改造项目分表!$V$6:$V$353&gt;=31%)*(危旧房屋改造项目分表!$V$6:$V$353&lt;=89%)*危旧房屋改造项目分表!$AF$6:$AF$353),"")</f>
        <v>0</v>
      </c>
      <c r="M44" s="130">
        <f>IFERROR(SUMPRODUCT((危旧房屋改造项目分表!$AG$6:AH$353="是")*(危旧房屋改造项目分表!$O$6:$O$353="加面重建")*(危旧房屋改造项目分表!$V$6:$V$353&gt;=31%)*(危旧房屋改造项目分表!$V$6:$V$353&lt;=89%)*危旧房屋改造项目分表!$AF$6:$AF$353),"")</f>
        <v>0</v>
      </c>
      <c r="N44" s="130">
        <f>SUM($D$44:$M$44)</f>
        <v>0</v>
      </c>
      <c r="O44" s="149">
        <f>IF(ISERROR(N44/$N$50),"",N44/$N$50)</f>
        <v>0</v>
      </c>
    </row>
    <row r="45" ht="15" customHeight="1" spans="1:15">
      <c r="A45" s="137"/>
      <c r="B45" s="140"/>
      <c r="C45" s="129" t="s">
        <v>18</v>
      </c>
      <c r="D45" s="130">
        <f>IFERROR(SUMPRODUCT((危旧房屋改造项目分表!$B$6:$B$353=$D$3)*(危旧房屋改造项目分表!AG$6:$AG$353="否")*(危旧房屋改造项目分表!$O$6:$O$353="加面重建")*(危旧房屋改造项目分表!$V$6:$V$353&gt;=31%)*(危旧房屋改造项目分表!$V$6:$V$353&lt;=89%)*危旧房屋改造项目分表!$K$6:$K$353),"")</f>
        <v>0</v>
      </c>
      <c r="E45" s="130">
        <f>IFERROR(SUMPRODUCT((危旧房屋改造项目分表!$B$6:$B$353=$E$3)*(危旧房屋改造项目分表!AG$6:$AG$353="否")*(危旧房屋改造项目分表!$O$6:$O$353="加面重建")*(危旧房屋改造项目分表!$V$6:$V$353&gt;=31%)*(危旧房屋改造项目分表!$V$6:$V$353&lt;=89%)*危旧房屋改造项目分表!$K$6:$K$353),"")</f>
        <v>0</v>
      </c>
      <c r="F45" s="130">
        <f>IFERROR(SUMPRODUCT((危旧房屋改造项目分表!$B$6:$B$353=$F$3)*(危旧房屋改造项目分表!AG$6:$AG$353="否")*(危旧房屋改造项目分表!$O$6:$O$353="加面重建")*(危旧房屋改造项目分表!$V$6:$V$353&gt;=31%)*(危旧房屋改造项目分表!$V$6:$V$353&lt;=89%)*危旧房屋改造项目分表!$K$6:$K$353),"")</f>
        <v>0</v>
      </c>
      <c r="G45" s="130">
        <f>IFERROR(SUMPRODUCT((危旧房屋改造项目分表!$B$6:$B$353=$G$3)*(危旧房屋改造项目分表!AG$6:$AG$353="否")*(危旧房屋改造项目分表!$O$6:$O$353="加面重建")*(危旧房屋改造项目分表!$V$6:$V$353&gt;=31%)*(危旧房屋改造项目分表!$V$6:$V$353&lt;=89%)*危旧房屋改造项目分表!$K$6:$K$353),"")</f>
        <v>0</v>
      </c>
      <c r="H45" s="130">
        <f>IFERROR(SUMPRODUCT((危旧房屋改造项目分表!$B$6:$B$353=$H$3)*(危旧房屋改造项目分表!AG$6:$AG$353="否")*(危旧房屋改造项目分表!$O$6:$O$353="加面重建")*(危旧房屋改造项目分表!$V$6:$V$353&gt;=31%)*(危旧房屋改造项目分表!$V$6:$V$353&lt;=89%)*危旧房屋改造项目分表!$K$6:$K$353),"")</f>
        <v>0</v>
      </c>
      <c r="I45" s="130">
        <f>IFERROR(SUMPRODUCT((危旧房屋改造项目分表!$B$6:$B$353=$I$3)*(危旧房屋改造项目分表!AG$6:$AG$353="否")*(危旧房屋改造项目分表!$O$6:$O$353="加面重建")*(危旧房屋改造项目分表!$V$6:$V$353&gt;=31%)*(危旧房屋改造项目分表!$V$6:$V$353&lt;=89%)*危旧房屋改造项目分表!$K$6:$K$353),"")</f>
        <v>0</v>
      </c>
      <c r="J45" s="130">
        <f>IFERROR(SUMPRODUCT((危旧房屋改造项目分表!$B$6:$B$353=$J$3)*(危旧房屋改造项目分表!AG$6:$AG$353="否")*(危旧房屋改造项目分表!$O$6:$O$353="加面重建")*(危旧房屋改造项目分表!$V$6:$V$353&gt;=31%)*(危旧房屋改造项目分表!$V$6:$V$353&lt;=89%)*危旧房屋改造项目分表!$K$6:$K$353),"")</f>
        <v>0</v>
      </c>
      <c r="K45" s="130">
        <f>IFERROR(SUMPRODUCT((危旧房屋改造项目分表!$B$6:$B$353=$K$3)*(危旧房屋改造项目分表!AG$6:$AG$353="否")*(危旧房屋改造项目分表!$O$6:$O$353="加面重建")*(危旧房屋改造项目分表!$V$6:$V$353&gt;=31%)*(危旧房屋改造项目分表!$V$6:$V$353&lt;=89%)*危旧房屋改造项目分表!$K$6:$K$353),"")</f>
        <v>0</v>
      </c>
      <c r="L45" s="130">
        <f>IFERROR(SUMPRODUCT((危旧房屋改造项目分表!$B$6:$B$353=$L$3)*(危旧房屋改造项目分表!AG$6:$AG$353="否")*(危旧房屋改造项目分表!$O$6:$O$353="加面重建")*(危旧房屋改造项目分表!$V$6:$V$353&gt;=31%)*(危旧房屋改造项目分表!$V$6:$V$353&lt;=89%)*危旧房屋改造项目分表!$K$6:$K$353),"")</f>
        <v>0</v>
      </c>
      <c r="M45" s="130">
        <f>IFERROR(SUMPRODUCT((危旧房屋改造项目分表!$AG$6:AH$353="是")*(危旧房屋改造项目分表!$O$6:$O$353="加面重建")*(危旧房屋改造项目分表!$V$6:$V$353&gt;=31%)*(危旧房屋改造项目分表!$V$6:$V$353&lt;=89%)*危旧房屋改造项目分表!$K$6:$K$353),"")</f>
        <v>0</v>
      </c>
      <c r="N45" s="130">
        <f>SUM($D$45:$M$45)</f>
        <v>0</v>
      </c>
      <c r="O45" s="149">
        <f>IF(ISERROR(N45/$N$51),"",N45/$N$51)</f>
        <v>0</v>
      </c>
    </row>
    <row r="46" ht="15" customHeight="1" spans="1:15">
      <c r="A46" s="137"/>
      <c r="B46" s="140"/>
      <c r="C46" s="129" t="s">
        <v>19</v>
      </c>
      <c r="D46" s="130">
        <f>IFERROR(SUMPRODUCT((危旧房屋改造项目分表!$B$6:$B$353=$D$3)*(危旧房屋改造项目分表!AG$6:$AG$353="否")*(危旧房屋改造项目分表!$O$6:$O$353="加面重建")*(危旧房屋改造项目分表!$V$6:$V$353&gt;=31%)*(危旧房屋改造项目分表!$V$6:$V$353&lt;=89%)*危旧房屋改造项目分表!$L$6:$L$353),"")</f>
        <v>0</v>
      </c>
      <c r="E46" s="130">
        <f>IFERROR(SUMPRODUCT((危旧房屋改造项目分表!$B$6:$B$353=$F$3)*(危旧房屋改造项目分表!AG$6:$AG$353="否")*(危旧房屋改造项目分表!$O$6:$O$353="加面重建")*(危旧房屋改造项目分表!$V$6:$V$353&gt;=31%)*(危旧房屋改造项目分表!$V$6:$V$353&lt;=89%)*危旧房屋改造项目分表!$L$6:$L$353),"")</f>
        <v>0</v>
      </c>
      <c r="F46" s="130">
        <f>IFERROR(SUMPRODUCT((危旧房屋改造项目分表!$B$6:$B$353=$F$3)*(危旧房屋改造项目分表!AG$6:$AG$353="否")*(危旧房屋改造项目分表!$O$6:$O$353="加面重建")*(危旧房屋改造项目分表!$V$6:$V$353&gt;=31%)*(危旧房屋改造项目分表!$V$6:$V$353&lt;=89%)*危旧房屋改造项目分表!$L$6:$L$353),"")</f>
        <v>0</v>
      </c>
      <c r="G46" s="130">
        <f>IFERROR(SUMPRODUCT((危旧房屋改造项目分表!$B$6:$B$353=$G$3)*(危旧房屋改造项目分表!AG$6:$AG$353="否")*(危旧房屋改造项目分表!$O$6:$O$353="加面重建")*(危旧房屋改造项目分表!$V$6:$V$353&gt;=31%)*(危旧房屋改造项目分表!$V$6:$V$353&lt;=89%)*危旧房屋改造项目分表!$L$6:$L$353),"")</f>
        <v>0</v>
      </c>
      <c r="H46" s="130">
        <f>IFERROR(SUMPRODUCT((危旧房屋改造项目分表!$B$6:$B$353=$H$3)*(危旧房屋改造项目分表!AG$6:$AG$353="否")*(危旧房屋改造项目分表!$O$6:$O$353="加面重建")*(危旧房屋改造项目分表!$V$6:$V$353&gt;=31%)*(危旧房屋改造项目分表!$V$6:$V$353&lt;=89%)*危旧房屋改造项目分表!$L$6:$L$353),"")</f>
        <v>0</v>
      </c>
      <c r="I46" s="130">
        <f>IFERROR(SUMPRODUCT((危旧房屋改造项目分表!$B$6:$B$353=$I$3)*(危旧房屋改造项目分表!AG$6:$AG$353="否")*(危旧房屋改造项目分表!$O$6:$O$353="加面重建")*(危旧房屋改造项目分表!$V$6:$V$353&gt;=31%)*(危旧房屋改造项目分表!$V$6:$V$353&lt;=89%)*危旧房屋改造项目分表!$L$6:$L$353),"")</f>
        <v>0</v>
      </c>
      <c r="J46" s="130">
        <f>IFERROR(SUMPRODUCT((危旧房屋改造项目分表!$B$6:$B$353=$J$3)*(危旧房屋改造项目分表!AG$6:$AG$353="否")*(危旧房屋改造项目分表!$O$6:$O$353="加面重建")*(危旧房屋改造项目分表!$V$6:$V$353&gt;=31%)*(危旧房屋改造项目分表!$V$6:$V$353&lt;=89%)*危旧房屋改造项目分表!$L$6:$L$353),"")</f>
        <v>0</v>
      </c>
      <c r="K46" s="130">
        <f>IFERROR(SUMPRODUCT((危旧房屋改造项目分表!$B$6:$B$353=$K$3)*(危旧房屋改造项目分表!AG$6:$AG$353="否")*(危旧房屋改造项目分表!$O$6:$O$353="加面重建")*(危旧房屋改造项目分表!$V$6:$V$353&gt;=31%)*(危旧房屋改造项目分表!$V$6:$V$353&lt;=89%)*危旧房屋改造项目分表!$L$6:$L$353),"")</f>
        <v>0</v>
      </c>
      <c r="L46" s="130">
        <f>IFERROR(SUMPRODUCT((危旧房屋改造项目分表!$B$6:$B$353=$L$3)*(危旧房屋改造项目分表!AG$6:$AG$353="否")*(危旧房屋改造项目分表!$O$6:$O$353="加面重建")*(危旧房屋改造项目分表!$V$6:$V$353&gt;=31%)*(危旧房屋改造项目分表!$V$6:$V$353&lt;=89%)*危旧房屋改造项目分表!$L$6:$L$353),"")</f>
        <v>0</v>
      </c>
      <c r="M46" s="130">
        <f>IFERROR(SUMPRODUCT((危旧房屋改造项目分表!$AG$6:AH$353="是")*(危旧房屋改造项目分表!$O$6:$O$353="加面重建")*(危旧房屋改造项目分表!$V$6:$V$353&gt;=31%)*(危旧房屋改造项目分表!$V$6:$V$353&lt;=89%)*危旧房屋改造项目分表!$L$6:$L$353),"")</f>
        <v>0</v>
      </c>
      <c r="N46" s="130">
        <f>SUM($D$46:$M$46)</f>
        <v>0</v>
      </c>
      <c r="O46" s="149">
        <f>IF(ISERROR(N46/$N$52),"",N46/$N$52)</f>
        <v>0</v>
      </c>
    </row>
    <row r="47" ht="15" customHeight="1" spans="1:15">
      <c r="A47" s="137"/>
      <c r="B47" s="140" t="s">
        <v>25</v>
      </c>
      <c r="C47" s="129" t="s">
        <v>17</v>
      </c>
      <c r="D47" s="130">
        <f>IFERROR(SUMPRODUCT((危旧房屋改造项目分表!$B$6:$B$353=$D$3)*(危旧房屋改造项目分表!AG$6:$AG$353="否")*(危旧房屋改造项目分表!$O$6:$O$353="加面重建")*(危旧房屋改造项目分表!$V$6:$V$353&gt;=90%)*危旧房屋改造项目分表!$AF$6:$AF$353),"")</f>
        <v>0</v>
      </c>
      <c r="E47" s="130">
        <f>IFERROR(SUMPRODUCT((危旧房屋改造项目分表!$B$6:$B$353=$E$3)*(危旧房屋改造项目分表!AG$6:$AG$353="否")*(危旧房屋改造项目分表!$O$6:$O$353="加面重建")*(危旧房屋改造项目分表!$V$6:$V$353&gt;=90%)*危旧房屋改造项目分表!$AF$6:$AF$353),"")</f>
        <v>0</v>
      </c>
      <c r="F47" s="130">
        <f>IFERROR(SUMPRODUCT((危旧房屋改造项目分表!$B$6:$B$353=$F$3)*(危旧房屋改造项目分表!AG$6:$AG$353="否")*(危旧房屋改造项目分表!$O$6:$O$353="加面重建")*(危旧房屋改造项目分表!$V$6:$V$353&gt;=90%)*危旧房屋改造项目分表!$AF$6:$AF$353),"")</f>
        <v>0</v>
      </c>
      <c r="G47" s="130">
        <f>IFERROR(SUMPRODUCT((危旧房屋改造项目分表!$B$6:$B$353=$G$3)*(危旧房屋改造项目分表!AG$6:$AG$353="否")*(危旧房屋改造项目分表!$O$6:$O$353="加面重建")*(危旧房屋改造项目分表!$V$6:$V$353&gt;=90%)*危旧房屋改造项目分表!$AF$6:$AF$353),"")</f>
        <v>0</v>
      </c>
      <c r="H47" s="130">
        <f>IFERROR(SUMPRODUCT((危旧房屋改造项目分表!$B$6:$B$353=$H$3)*(危旧房屋改造项目分表!AG$6:$AG$353="否")*(危旧房屋改造项目分表!$O$6:$O$353="加面重建")*(危旧房屋改造项目分表!$V$6:$V$353&gt;=90%)*危旧房屋改造项目分表!$AF$6:$AF$353),"")</f>
        <v>0</v>
      </c>
      <c r="I47" s="130">
        <f>IFERROR(SUMPRODUCT((危旧房屋改造项目分表!$B$6:$B$353=$I$3)*(危旧房屋改造项目分表!AG$6:$AG$353="否")*(危旧房屋改造项目分表!$O$6:$O$353="加面重建")*(危旧房屋改造项目分表!$V$6:$V$353&gt;=90%)*危旧房屋改造项目分表!$AF$6:$AF$353),"")</f>
        <v>0</v>
      </c>
      <c r="J47" s="130">
        <f>IFERROR(SUMPRODUCT((危旧房屋改造项目分表!$B$6:$B$353=$J$3)*(危旧房屋改造项目分表!AG$6:$AG$353="否")*(危旧房屋改造项目分表!$O$6:$O$353="加面重建")*(危旧房屋改造项目分表!$V$6:$V$353&gt;=90%)*危旧房屋改造项目分表!$AF$6:$AF$353),"")</f>
        <v>0</v>
      </c>
      <c r="K47" s="130">
        <f>IFERROR(SUMPRODUCT((危旧房屋改造项目分表!$B$6:$B$353=$K$3)*(危旧房屋改造项目分表!AG$6:$AG$353="否")*(危旧房屋改造项目分表!$O$6:$O$353="加面重建")*(危旧房屋改造项目分表!$V$6:$V$353&gt;=90%)*危旧房屋改造项目分表!$AF$6:$AF$353),"")</f>
        <v>0</v>
      </c>
      <c r="L47" s="130">
        <f>IFERROR(SUMPRODUCT((危旧房屋改造项目分表!$B$6:$B$353=$L$3)*(危旧房屋改造项目分表!AG$6:$AG$353="否")*(危旧房屋改造项目分表!$O$6:$O$353="加面重建")*(危旧房屋改造项目分表!$V$6:$V$353&gt;=90%)*危旧房屋改造项目分表!$AF$6:$AF$353),"")</f>
        <v>0</v>
      </c>
      <c r="M47" s="130">
        <f>IFERROR(SUMPRODUCT((危旧房屋改造项目分表!$AG$6:AH$353="是")*(危旧房屋改造项目分表!$O$6:$O$353="加面重建")*(危旧房屋改造项目分表!$V$6:$V$353&gt;=90%)*危旧房屋改造项目分表!$AF$6:$AF$353),"")</f>
        <v>0</v>
      </c>
      <c r="N47" s="130">
        <f>SUM($D$47:$M$47)</f>
        <v>0</v>
      </c>
      <c r="O47" s="149">
        <f>IF(ISERROR(N47/$N$50),"",N47/$N$50)</f>
        <v>0</v>
      </c>
    </row>
    <row r="48" ht="15" customHeight="1" spans="1:15">
      <c r="A48" s="137"/>
      <c r="B48" s="140"/>
      <c r="C48" s="129" t="s">
        <v>18</v>
      </c>
      <c r="D48" s="130">
        <f>IFERROR(SUMPRODUCT((危旧房屋改造项目分表!$B$6:$B$353=$D$3)*(危旧房屋改造项目分表!AG$6:$AG$353="否")*(危旧房屋改造项目分表!$O$6:$O$353="加面重建")*(危旧房屋改造项目分表!$V$6:$V$353&gt;=90%)*危旧房屋改造项目分表!$K$6:$K$353),"")</f>
        <v>0</v>
      </c>
      <c r="E48" s="130">
        <f>IFERROR(SUMPRODUCT((危旧房屋改造项目分表!$B$6:$B$353=$E$3)*(危旧房屋改造项目分表!AG$6:$AG$353="否")*(危旧房屋改造项目分表!$O$6:$O$353="加面重建")*(危旧房屋改造项目分表!$V$6:$V$353&gt;=90%)*危旧房屋改造项目分表!$K$6:$K$353),"")</f>
        <v>0</v>
      </c>
      <c r="F48" s="130">
        <f>IFERROR(SUMPRODUCT((危旧房屋改造项目分表!$B$6:$B$353=$F$3)*(危旧房屋改造项目分表!AG$6:$AG$353="否")*(危旧房屋改造项目分表!$O$6:$O$353="加面重建")*(危旧房屋改造项目分表!$V$6:$V$353&gt;=90%)*危旧房屋改造项目分表!$K$6:$K$353),"")</f>
        <v>0</v>
      </c>
      <c r="G48" s="130">
        <f>IFERROR(SUMPRODUCT((危旧房屋改造项目分表!$B$6:$B$353=$G$3)*(危旧房屋改造项目分表!AG$6:$AG$353="否")*(危旧房屋改造项目分表!$O$6:$O$353="加面重建")*(危旧房屋改造项目分表!$V$6:$V$353&gt;=90%)*危旧房屋改造项目分表!$K$6:$K$353),"")</f>
        <v>0</v>
      </c>
      <c r="H48" s="130">
        <f>IFERROR(SUMPRODUCT((危旧房屋改造项目分表!$B$6:$B$353=$H$3)*(危旧房屋改造项目分表!AG$6:$AG$353="否")*(危旧房屋改造项目分表!$O$6:$O$353="加面重建")*(危旧房屋改造项目分表!$V$6:$V$353&gt;=90%)*危旧房屋改造项目分表!$K$6:$K$353),"")</f>
        <v>0</v>
      </c>
      <c r="I48" s="130">
        <f>IFERROR(SUMPRODUCT((危旧房屋改造项目分表!$B$6:$B$353=$I$3)*(危旧房屋改造项目分表!AG$6:$AG$353="否")*(危旧房屋改造项目分表!$O$6:$O$353="加面重建")*(危旧房屋改造项目分表!$V$6:$V$353&gt;=90%)*危旧房屋改造项目分表!$K$6:$K$353),"")</f>
        <v>0</v>
      </c>
      <c r="J48" s="130">
        <f>IFERROR(SUMPRODUCT((危旧房屋改造项目分表!$B$6:$B$353=$J$3)*(危旧房屋改造项目分表!AG$6:$AG$353="否")*(危旧房屋改造项目分表!$O$6:$O$353="加面重建")*(危旧房屋改造项目分表!$V$6:$V$353&gt;=90%)*危旧房屋改造项目分表!$K$6:$K$353),"")</f>
        <v>0</v>
      </c>
      <c r="K48" s="130">
        <f>IFERROR(SUMPRODUCT((危旧房屋改造项目分表!$B$6:$B$353=$K$3)*(危旧房屋改造项目分表!AG$6:$AG$353="否")*(危旧房屋改造项目分表!$O$6:$O$353="加面重建")*(危旧房屋改造项目分表!$V$6:$V$353&gt;=90%)*危旧房屋改造项目分表!$K$6:$K$353),"")</f>
        <v>0</v>
      </c>
      <c r="L48" s="130">
        <f>IFERROR(SUMPRODUCT((危旧房屋改造项目分表!$B$6:$B$353=$L$3)*(危旧房屋改造项目分表!AG$6:$AG$353="否")*(危旧房屋改造项目分表!$O$6:$O$353="加面重建")*(危旧房屋改造项目分表!$V$6:$V$353&gt;=90%)*危旧房屋改造项目分表!$K$6:$K$353),"")</f>
        <v>0</v>
      </c>
      <c r="M48" s="130">
        <f>IFERROR(SUMPRODUCT((危旧房屋改造项目分表!$AG$6:AH$353="是")*(危旧房屋改造项目分表!$O$6:$O$353="加面重建")*(危旧房屋改造项目分表!$V$6:$V$353&gt;=90%)*危旧房屋改造项目分表!$K$6:$K$353),"")</f>
        <v>0</v>
      </c>
      <c r="N48" s="130">
        <f>SUM($D$48:$M$48)</f>
        <v>0</v>
      </c>
      <c r="O48" s="149">
        <f>IF(ISERROR(N48/$N$51),"",N48/$N$51)</f>
        <v>0</v>
      </c>
    </row>
    <row r="49" ht="15" customHeight="1" spans="1:15">
      <c r="A49" s="137"/>
      <c r="B49" s="140"/>
      <c r="C49" s="129" t="s">
        <v>19</v>
      </c>
      <c r="D49" s="130">
        <f>IFERROR(SUMPRODUCT((危旧房屋改造项目分表!$B$6:$B$353=$D$3)*(危旧房屋改造项目分表!AG$6:$AG$353="否")*(危旧房屋改造项目分表!$O$6:$O$353="加面重建")*(危旧房屋改造项目分表!$V$6:$V$353&gt;=90%)*危旧房屋改造项目分表!$L$6:$L$353),"")</f>
        <v>0</v>
      </c>
      <c r="E49" s="130">
        <f>IFERROR(SUMPRODUCT((危旧房屋改造项目分表!$B$6:$B$353=$E$3)*(危旧房屋改造项目分表!AG$6:$AG$353="否")*(危旧房屋改造项目分表!$O$6:$O$353="加面重建")*(危旧房屋改造项目分表!$V$6:$V$353&gt;=90%)*危旧房屋改造项目分表!$L$6:$L$353),"")</f>
        <v>0</v>
      </c>
      <c r="F49" s="130">
        <f>IFERROR(SUMPRODUCT((危旧房屋改造项目分表!$B$6:$B$353=$F$3)*(危旧房屋改造项目分表!AG$6:$AG$353="否")*(危旧房屋改造项目分表!$O$6:$O$353="加面重建")*(危旧房屋改造项目分表!$V$6:$V$353&gt;=90%)*危旧房屋改造项目分表!$L$6:$L$353),"")</f>
        <v>0</v>
      </c>
      <c r="G49" s="130">
        <f>IFERROR(SUMPRODUCT((危旧房屋改造项目分表!$B$6:$B$353=$G$3)*(危旧房屋改造项目分表!AG$6:$AG$353="否")*(危旧房屋改造项目分表!$O$6:$O$353="加面重建")*(危旧房屋改造项目分表!$V$6:$V$353&gt;=90%)*危旧房屋改造项目分表!$L$6:$L$353),"")</f>
        <v>0</v>
      </c>
      <c r="H49" s="130">
        <f>IFERROR(SUMPRODUCT((危旧房屋改造项目分表!$B$6:$B$353=$H$3)*(危旧房屋改造项目分表!AG$6:$AG$353="否")*(危旧房屋改造项目分表!$O$6:$O$353="加面重建")*(危旧房屋改造项目分表!$V$6:$V$353&gt;=90%)*危旧房屋改造项目分表!$L$6:$L$353),"")</f>
        <v>0</v>
      </c>
      <c r="I49" s="130">
        <f>IFERROR(SUMPRODUCT((危旧房屋改造项目分表!$B$6:$B$353=$I$3)*(危旧房屋改造项目分表!AG$6:$AG$353="否")*(危旧房屋改造项目分表!$O$6:$O$353="加面重建")*(危旧房屋改造项目分表!$V$6:$V$353&gt;=90%)*危旧房屋改造项目分表!$L$6:$L$353),"")</f>
        <v>0</v>
      </c>
      <c r="J49" s="130">
        <f>IFERROR(SUMPRODUCT((危旧房屋改造项目分表!$B$6:$B$353=$J$3)*(危旧房屋改造项目分表!AG$6:$AG$353="否")*(危旧房屋改造项目分表!$O$6:$O$353="加面重建")*(危旧房屋改造项目分表!$V$6:$V$353&gt;=90%)*危旧房屋改造项目分表!$L$6:$L$353),"")</f>
        <v>0</v>
      </c>
      <c r="K49" s="130">
        <f>IFERROR(SUMPRODUCT((危旧房屋改造项目分表!$B$6:$B$353=$K$3)*(危旧房屋改造项目分表!AG$6:$AG$353="否")*(危旧房屋改造项目分表!$O$6:$O$353="加面重建")*(危旧房屋改造项目分表!$V$6:$V$353&gt;=90%)*危旧房屋改造项目分表!$L$6:$L$353),"")</f>
        <v>0</v>
      </c>
      <c r="L49" s="130">
        <f>IFERROR(SUMPRODUCT((危旧房屋改造项目分表!$B$6:$B$353=$L$3)*(危旧房屋改造项目分表!AG$6:$AG$353="否")*(危旧房屋改造项目分表!$O$6:$O$353="加面重建")*(危旧房屋改造项目分表!$V$6:$V$353&gt;=90%)*危旧房屋改造项目分表!$L$6:$L$353),"")</f>
        <v>0</v>
      </c>
      <c r="M49" s="130">
        <f>IFERROR(SUMPRODUCT((危旧房屋改造项目分表!$AG$6:AH$353="是")*(危旧房屋改造项目分表!$O$6:$O$353="加面重建")*(危旧房屋改造项目分表!$V$6:$V$353&gt;=90%)*危旧房屋改造项目分表!$L$6:$L$353),"")</f>
        <v>0</v>
      </c>
      <c r="N49" s="130">
        <f>SUM($D$49:$M$49)</f>
        <v>0</v>
      </c>
      <c r="O49" s="149">
        <f>IF(ISERROR(N49/$N$52),"",N49/$N$52)</f>
        <v>0</v>
      </c>
    </row>
    <row r="50" ht="15" customHeight="1" spans="1:15">
      <c r="A50" s="137"/>
      <c r="B50" s="129" t="s">
        <v>26</v>
      </c>
      <c r="C50" s="129" t="s">
        <v>17</v>
      </c>
      <c r="D50" s="141">
        <f t="shared" ref="D50:M50" si="6">D41+D44+D47+D38</f>
        <v>0</v>
      </c>
      <c r="E50" s="141">
        <f t="shared" si="6"/>
        <v>0</v>
      </c>
      <c r="F50" s="141">
        <f t="shared" si="6"/>
        <v>0</v>
      </c>
      <c r="G50" s="141">
        <f t="shared" si="6"/>
        <v>0</v>
      </c>
      <c r="H50" s="141">
        <f t="shared" si="6"/>
        <v>0</v>
      </c>
      <c r="I50" s="141">
        <f t="shared" si="6"/>
        <v>0</v>
      </c>
      <c r="J50" s="141">
        <f t="shared" si="6"/>
        <v>0</v>
      </c>
      <c r="K50" s="141">
        <f t="shared" si="6"/>
        <v>0</v>
      </c>
      <c r="L50" s="141">
        <f t="shared" si="6"/>
        <v>0</v>
      </c>
      <c r="M50" s="141">
        <f t="shared" si="6"/>
        <v>10</v>
      </c>
      <c r="N50" s="130">
        <f>SUM($D$50:$M$50)</f>
        <v>10</v>
      </c>
      <c r="O50" s="149">
        <f>IF(ISERROR(N50/$N$4),"",N50/$N$4)</f>
        <v>0.028735632183908</v>
      </c>
    </row>
    <row r="51" ht="15" customHeight="1" spans="1:15">
      <c r="A51" s="137"/>
      <c r="B51" s="129"/>
      <c r="C51" s="129" t="s">
        <v>18</v>
      </c>
      <c r="D51" s="141">
        <f t="shared" ref="D51:M51" si="7">D42+D45+D48+D39</f>
        <v>0</v>
      </c>
      <c r="E51" s="141">
        <f t="shared" si="7"/>
        <v>0</v>
      </c>
      <c r="F51" s="141">
        <f t="shared" si="7"/>
        <v>0</v>
      </c>
      <c r="G51" s="141">
        <f t="shared" si="7"/>
        <v>0</v>
      </c>
      <c r="H51" s="141">
        <f t="shared" si="7"/>
        <v>0</v>
      </c>
      <c r="I51" s="141">
        <f t="shared" si="7"/>
        <v>0</v>
      </c>
      <c r="J51" s="141">
        <f t="shared" si="7"/>
        <v>0</v>
      </c>
      <c r="K51" s="141">
        <f t="shared" si="7"/>
        <v>0</v>
      </c>
      <c r="L51" s="141">
        <f t="shared" si="7"/>
        <v>0</v>
      </c>
      <c r="M51" s="141">
        <f t="shared" si="7"/>
        <v>44</v>
      </c>
      <c r="N51" s="130">
        <f>SUM($D$51:$M$51)</f>
        <v>44</v>
      </c>
      <c r="O51" s="149">
        <f>IF(ISERROR(N51/$N$5),"",N51/$N$5)</f>
        <v>0.0121816168327796</v>
      </c>
    </row>
    <row r="52" ht="15" customHeight="1" spans="1:15">
      <c r="A52" s="142"/>
      <c r="B52" s="129"/>
      <c r="C52" s="129" t="s">
        <v>19</v>
      </c>
      <c r="D52" s="141">
        <f t="shared" ref="D52:M52" si="8">D43+D46+D49+D40</f>
        <v>0</v>
      </c>
      <c r="E52" s="141">
        <f t="shared" si="8"/>
        <v>0</v>
      </c>
      <c r="F52" s="141">
        <f t="shared" si="8"/>
        <v>0</v>
      </c>
      <c r="G52" s="141">
        <f t="shared" si="8"/>
        <v>0</v>
      </c>
      <c r="H52" s="141">
        <f t="shared" si="8"/>
        <v>0</v>
      </c>
      <c r="I52" s="141">
        <f t="shared" si="8"/>
        <v>0</v>
      </c>
      <c r="J52" s="141">
        <f t="shared" si="8"/>
        <v>0</v>
      </c>
      <c r="K52" s="141">
        <f t="shared" si="8"/>
        <v>0</v>
      </c>
      <c r="L52" s="141">
        <f t="shared" si="8"/>
        <v>0</v>
      </c>
      <c r="M52" s="141">
        <f t="shared" si="8"/>
        <v>1700.64</v>
      </c>
      <c r="N52" s="130">
        <f>SUM($D$52:$M$52)</f>
        <v>1700.64</v>
      </c>
      <c r="O52" s="149">
        <f>IF(ISERROR(N52/$N$6),"",N52/$N$6)</f>
        <v>0.00969815474220686</v>
      </c>
    </row>
    <row r="53" ht="15.6" customHeight="1" spans="1:15">
      <c r="A53" s="144" t="s">
        <v>29</v>
      </c>
      <c r="B53" s="140" t="s">
        <v>22</v>
      </c>
      <c r="C53" s="129" t="s">
        <v>17</v>
      </c>
      <c r="D53" s="130">
        <f>IFERROR(SUMPRODUCT((危旧房屋改造项目分表!$B$6:$B$353=$D$3)*(危旧房屋改造项目分表!AG$6:$AG$353="否")*(危旧房屋改造项目分表!$O$6:$O$353="棚改征收")*(危旧房屋改造项目分表!$V$6:$V$353&lt;=10%)*危旧房屋改造项目分表!$AF$6:$AF$353),"")+SUMPRODUCT((危旧房屋改造项目分表!$B$6:$B$353=$D$3)*(危旧房屋改造项目分表!AG$6:$AG$353="否")*(危旧房屋改造项目分表!$O$6:$O$353="拆除补偿")*(危旧房屋改造项目分表!$V$6:$V$353&lt;=10%)*危旧房屋改造项目分表!$AF$6:$AF$353)</f>
        <v>0</v>
      </c>
      <c r="E53" s="130">
        <f>IFERROR(SUMPRODUCT((危旧房屋改造项目分表!$B$6:$B$353=$E$3)*(危旧房屋改造项目分表!AG$6:$AG$353="否")*(危旧房屋改造项目分表!$O$6:$O$353="棚改征收")*(危旧房屋改造项目分表!$V$6:$V$353&lt;=10%)*危旧房屋改造项目分表!$AF$6:$AF$353),"")+SUMPRODUCT((危旧房屋改造项目分表!$B$6:$B$353=$E$3)*(危旧房屋改造项目分表!AG$6:$AG$353="否")*(危旧房屋改造项目分表!$O$6:$O$353="拆除补偿")*(危旧房屋改造项目分表!$V$6:$V$353&lt;=10%)*危旧房屋改造项目分表!$AF$6:$AF$353)</f>
        <v>21</v>
      </c>
      <c r="F53" s="130">
        <f>IFERROR(SUMPRODUCT((危旧房屋改造项目分表!$B$6:$B$353=$F$3)*(危旧房屋改造项目分表!AG$6:$AG$353="否")*(危旧房屋改造项目分表!$O$6:$O$353="棚改征收")*(危旧房屋改造项目分表!$V$6:$V$353&lt;=10%)*危旧房屋改造项目分表!$AF$6:$AF$353),"")+SUMPRODUCT((危旧房屋改造项目分表!$B$6:$B$353=$F$3)*(危旧房屋改造项目分表!AG$6:$AG$353="否")*(危旧房屋改造项目分表!$O$6:$O$353="拆除补偿")*(危旧房屋改造项目分表!$V$6:$V$353&lt;=10%)*危旧房屋改造项目分表!$AF$6:$AF$353)</f>
        <v>0</v>
      </c>
      <c r="G53" s="130">
        <f>IFERROR(SUMPRODUCT((危旧房屋改造项目分表!$B$6:$B$353=$G$3)*(危旧房屋改造项目分表!AG$6:$AG$353="否")*(危旧房屋改造项目分表!$O$6:$O$353="棚改征收")*(危旧房屋改造项目分表!$V$6:$V$353&lt;=10%)*危旧房屋改造项目分表!$AF$6:$AF$353),"")+SUMPRODUCT((危旧房屋改造项目分表!$B$6:$B$353=$G$3)*(危旧房屋改造项目分表!AG$6:$AG$353="否")*(危旧房屋改造项目分表!$O$6:$O$353="拆除补偿")*(危旧房屋改造项目分表!$V$6:$V$353&lt;=10%)*危旧房屋改造项目分表!$AF$6:$AF$353)</f>
        <v>0</v>
      </c>
      <c r="H53" s="130">
        <f>IFERROR(SUMPRODUCT((危旧房屋改造项目分表!$B$6:$B$353=$H$3)*(危旧房屋改造项目分表!AG$6:$AG$353="否")*(危旧房屋改造项目分表!$O$6:$O$353="棚改征收")*(危旧房屋改造项目分表!$V$6:$V$353&lt;=10%)*危旧房屋改造项目分表!$AF$6:$AF$353),"")+SUMPRODUCT((危旧房屋改造项目分表!$B$6:$B$353=$H$3)*(危旧房屋改造项目分表!AG$6:$AG$353="否")*(危旧房屋改造项目分表!$O$6:$O$353="拆除补偿")*(危旧房屋改造项目分表!$V$6:$V$353&lt;=10%)*危旧房屋改造项目分表!$AF$6:$AF$353)</f>
        <v>18</v>
      </c>
      <c r="I53" s="130">
        <f>IFERROR(SUMPRODUCT((危旧房屋改造项目分表!$B$6:$B$353=$I$3)*(危旧房屋改造项目分表!AG$6:$AG$353="否")*(危旧房屋改造项目分表!$O$6:$O$353="棚改征收")*(危旧房屋改造项目分表!$V$6:$V$353&lt;=10%)*危旧房屋改造项目分表!$AF$6:$AF$353),"")+SUMPRODUCT((危旧房屋改造项目分表!$B$6:$B$353=$I$3)*(危旧房屋改造项目分表!AG$6:$AG$353="否")*(危旧房屋改造项目分表!$O$6:$O$353="拆除补偿")*(危旧房屋改造项目分表!$V$6:$V$353&lt;=10%)*危旧房屋改造项目分表!$AF$6:$AF$353)</f>
        <v>0</v>
      </c>
      <c r="J53" s="130">
        <f>IFERROR(SUMPRODUCT((危旧房屋改造项目分表!$B$6:$B$353=$J$3)*(危旧房屋改造项目分表!AG$6:$AG$353="否")*(危旧房屋改造项目分表!$O$6:$O$353="棚改征收")*(危旧房屋改造项目分表!$V$6:$V$353&lt;=10%)*危旧房屋改造项目分表!$AF$6:$AF$353),"")+SUMPRODUCT((危旧房屋改造项目分表!$B$6:$B$353=$J$3)*(危旧房屋改造项目分表!AG$6:$AG$353="否")*(危旧房屋改造项目分表!$O$6:$O$353="拆除补偿")*(危旧房屋改造项目分表!$V$6:$V$353&lt;=10%)*危旧房屋改造项目分表!$AF$6:$AF$353)</f>
        <v>0</v>
      </c>
      <c r="K53" s="130">
        <f>IFERROR(SUMPRODUCT((危旧房屋改造项目分表!$B$6:$B$353=$K$3)*(危旧房屋改造项目分表!AG$6:$AG$353="否")*(危旧房屋改造项目分表!$O$6:$O$353="棚改征收")*(危旧房屋改造项目分表!$V$6:$V$353&lt;=10%)*危旧房屋改造项目分表!$AF$6:$AF$353),"")+SUMPRODUCT((危旧房屋改造项目分表!$B$6:$B$353=$K$3)*(危旧房屋改造项目分表!AG$6:$AG$353="否")*(危旧房屋改造项目分表!$O$6:$O$353="拆除补偿")*(危旧房屋改造项目分表!$V$6:$V$353&lt;=10%)*危旧房屋改造项目分表!$AF$6:$AF$353)</f>
        <v>0</v>
      </c>
      <c r="L53" s="130">
        <f>IFERROR(SUMPRODUCT((危旧房屋改造项目分表!$B$6:$B$353=$L$3)*(危旧房屋改造项目分表!AG$6:$AG$353="否")*(危旧房屋改造项目分表!$O$6:$O$353="棚改征收")*(危旧房屋改造项目分表!$V$6:$V$353&lt;=10%)*危旧房屋改造项目分表!$AF$6:$AF$353),"")+SUMPRODUCT((危旧房屋改造项目分表!$B$6:$B$353=$L$3)*(危旧房屋改造项目分表!AG$6:$AG$353="否")*(危旧房屋改造项目分表!$O$6:$O$353="拆除补偿")*(危旧房屋改造项目分表!$V$6:$V$353&lt;=10%)*危旧房屋改造项目分表!$AF$6:$AF$353)</f>
        <v>0</v>
      </c>
      <c r="M53" s="130">
        <f>IFERROR(SUMPRODUCT((危旧房屋改造项目分表!$AG$6:AH$353="是")*(危旧房屋改造项目分表!$O$6:$O$353="棚改征收")*(危旧房屋改造项目分表!$V$6:$V$353&lt;=10%)*危旧房屋改造项目分表!$AF$6:$AF$353),"")+SUMPRODUCT((危旧房屋改造项目分表!$AG$6:AH$353="是")*(危旧房屋改造项目分表!$O$6:$O$353="拆除补偿")*(危旧房屋改造项目分表!$V$6:$V$353&lt;=10%)*危旧房屋改造项目分表!$AF$6:$AF$353)</f>
        <v>21</v>
      </c>
      <c r="N53" s="130">
        <f>SUM($D$53:$M$53)</f>
        <v>60</v>
      </c>
      <c r="O53" s="149">
        <f>IF(ISERROR(N53/$N$65),"",N53/$N$65)</f>
        <v>1</v>
      </c>
    </row>
    <row r="54" ht="15.6" customHeight="1" spans="1:15">
      <c r="A54" s="145"/>
      <c r="B54" s="140"/>
      <c r="C54" s="129" t="s">
        <v>18</v>
      </c>
      <c r="D54" s="130">
        <f>IFERROR(SUMPRODUCT((危旧房屋改造项目分表!$B$6:$B$353=$D$3)*(危旧房屋改造项目分表!AG$6:$AG$353="否")*(危旧房屋改造项目分表!$O$6:$O$353="棚改征收")*(危旧房屋改造项目分表!$V$6:$V$353&lt;=10%)*危旧房屋改造项目分表!$K$6:$K$353),"")+SUMPRODUCT((危旧房屋改造项目分表!$B$6:$B$353=$D$3)*(危旧房屋改造项目分表!AG$6:$AG$353="否")*(危旧房屋改造项目分表!$O$6:$O$353="拆除补偿")*(危旧房屋改造项目分表!$V$6:$V$353&lt;=10%)*危旧房屋改造项目分表!$K$6:$K$353)</f>
        <v>0</v>
      </c>
      <c r="E54" s="130">
        <f>IFERROR(SUMPRODUCT((危旧房屋改造项目分表!$B$6:$B$353=$E$3)*(危旧房屋改造项目分表!AG$6:$AG$353="否")*(危旧房屋改造项目分表!$O$6:$O$353="棚改征收")*(危旧房屋改造项目分表!$V$6:$V$353&lt;=10%)*危旧房屋改造项目分表!$K$6:$K$353),"")+SUMPRODUCT((危旧房屋改造项目分表!$B$6:$B$353=$E$3)*(危旧房屋改造项目分表!AG$6:$AG$353="否")*(危旧房屋改造项目分表!$O$6:$O$353="拆除补偿")*(危旧房屋改造项目分表!$V$6:$V$353&lt;=10%)*危旧房屋改造项目分表!$K$6:$K$353)</f>
        <v>587</v>
      </c>
      <c r="F54" s="130">
        <f>IFERROR(SUMPRODUCT((危旧房屋改造项目分表!$B$6:$B$353=$F$3)*(危旧房屋改造项目分表!AG$6:$AG$353="否")*(危旧房屋改造项目分表!$O$6:$O$353="棚改征收")*(危旧房屋改造项目分表!$V$6:$V$353&lt;=10%)*危旧房屋改造项目分表!$K$6:$K$353),"")+SUMPRODUCT((危旧房屋改造项目分表!$B$6:$B$353=$F$3)*(危旧房屋改造项目分表!AG$6:$AG$353="否")*(危旧房屋改造项目分表!$O$6:$O$353="拆除补偿")*(危旧房屋改造项目分表!$V$6:$V$353&lt;=10%)*危旧房屋改造项目分表!$K$6:$K$353)</f>
        <v>0</v>
      </c>
      <c r="G54" s="130">
        <f>IFERROR(SUMPRODUCT((危旧房屋改造项目分表!$B$6:$B$353=$G$3)*(危旧房屋改造项目分表!AG$6:$AG$353="否")*(危旧房屋改造项目分表!$O$6:$O$353="棚改征收")*(危旧房屋改造项目分表!$V$6:$V$353&lt;=10%)*危旧房屋改造项目分表!$K$6:$K$353),"")+SUMPRODUCT((危旧房屋改造项目分表!$B$6:$B$353=$G$3)*(危旧房屋改造项目分表!AG$6:$AG$353="否")*(危旧房屋改造项目分表!$O$6:$O$353="拆除补偿")*(危旧房屋改造项目分表!$V$6:$V$353&lt;=10%)*危旧房屋改造项目分表!$K$6:$K$353)</f>
        <v>0</v>
      </c>
      <c r="H54" s="130">
        <f>IFERROR(SUMPRODUCT((危旧房屋改造项目分表!$B$6:$B$353=$H$3)*(危旧房屋改造项目分表!AG$6:$AG$353="否")*(危旧房屋改造项目分表!$O$6:$O$353="棚改征收")*(危旧房屋改造项目分表!$V$6:$V$353&lt;=10%)*危旧房屋改造项目分表!$K$6:$K$353),"")+SUMPRODUCT((危旧房屋改造项目分表!$B$6:$B$353=$H$3)*(危旧房屋改造项目分表!AG$6:$AG$353="否")*(危旧房屋改造项目分表!$O$6:$O$353="拆除补偿")*(危旧房屋改造项目分表!$V$6:$V$353&lt;=10%)*危旧房屋改造项目分表!$K$6:$K$353)</f>
        <v>595</v>
      </c>
      <c r="I54" s="130">
        <f>IFERROR(SUMPRODUCT((危旧房屋改造项目分表!$B$6:$B$353=$I$3)*(危旧房屋改造项目分表!AG$6:$AG$353="否")*(危旧房屋改造项目分表!$O$6:$O$353="棚改征收")*(危旧房屋改造项目分表!$V$6:$V$353&lt;=10%)*危旧房屋改造项目分表!$K$6:$K$353),"")+SUMPRODUCT((危旧房屋改造项目分表!$B$6:$B$353=$I$3)*(危旧房屋改造项目分表!AG$6:$AG$353="否")*(危旧房屋改造项目分表!$O$6:$O$353="拆除补偿")*(危旧房屋改造项目分表!$V$6:$V$353&lt;=10%)*危旧房屋改造项目分表!$K$6:$K$353)</f>
        <v>0</v>
      </c>
      <c r="J54" s="130">
        <f>IFERROR(SUMPRODUCT((危旧房屋改造项目分表!$B$6:$B$353=$J$3)*(危旧房屋改造项目分表!AG$6:$AG$353="否")*(危旧房屋改造项目分表!$O$6:$O$353="棚改征收")*(危旧房屋改造项目分表!$V$6:$V$353&lt;=10%)*危旧房屋改造项目分表!$K$6:$K$353),"")+SUMPRODUCT((危旧房屋改造项目分表!$B$6:$B$353=$J$3)*(危旧房屋改造项目分表!AG$6:$AG$353="否")*(危旧房屋改造项目分表!$O$6:$O$353="拆除补偿")*(危旧房屋改造项目分表!$V$6:$V$353&lt;=10%)*危旧房屋改造项目分表!$K$6:$K$353)</f>
        <v>0</v>
      </c>
      <c r="K54" s="130">
        <f>IFERROR(SUMPRODUCT((危旧房屋改造项目分表!$B$6:$B$353=$K$3)*(危旧房屋改造项目分表!AG$6:$AG$353="否")*(危旧房屋改造项目分表!$O$6:$O$353="棚改征收")*(危旧房屋改造项目分表!$V$6:$V$353&lt;=10%)*危旧房屋改造项目分表!$K$6:$K$353),"")+SUMPRODUCT((危旧房屋改造项目分表!$B$6:$B$353=$K$3)*(危旧房屋改造项目分表!AG$6:$AG$353="否")*(危旧房屋改造项目分表!$O$6:$O$353="拆除补偿")*(危旧房屋改造项目分表!$V$6:$V$353&lt;=10%)*危旧房屋改造项目分表!$K$6:$K$353)</f>
        <v>0</v>
      </c>
      <c r="L54" s="130">
        <f>IFERROR(SUMPRODUCT((危旧房屋改造项目分表!$B$6:$B$353=$L$3)*(危旧房屋改造项目分表!AG$6:$AG$353="否")*(危旧房屋改造项目分表!$O$6:$O$353="棚改征收")*(危旧房屋改造项目分表!$V$6:$V$353&lt;=10%)*危旧房屋改造项目分表!$K$6:$K$353),"")+SUMPRODUCT((危旧房屋改造项目分表!$B$6:$B$353=$L$3)*(危旧房屋改造项目分表!AG$6:$AG$353="否")*(危旧房屋改造项目分表!$O$6:$O$353="拆除补偿")*(危旧房屋改造项目分表!$V$6:$V$353&lt;=10%)*危旧房屋改造项目分表!$K$6:$K$353)</f>
        <v>0</v>
      </c>
      <c r="M54" s="130">
        <f>IFERROR(SUMPRODUCT((危旧房屋改造项目分表!$AG$6:AH$353="是")*(危旧房屋改造项目分表!$O$6:$O$353="棚改征收")*(危旧房屋改造项目分表!$V$6:$V$353&lt;=10%)*危旧房屋改造项目分表!$K$6:$K$353),"")+SUMPRODUCT((危旧房屋改造项目分表!$AG$6:AH$353="是")*(危旧房屋改造项目分表!$O$6:$O$353="拆除补偿")*(危旧房屋改造项目分表!$V$6:$V$353&lt;=10%)*危旧房屋改造项目分表!$K$6:$K$353)</f>
        <v>103</v>
      </c>
      <c r="N54" s="130">
        <f>SUM($D$54:$M$54)</f>
        <v>1285</v>
      </c>
      <c r="O54" s="149">
        <f>IF(ISERROR(N54/$N$66),"",N54/$N$66)</f>
        <v>1</v>
      </c>
    </row>
    <row r="55" ht="15.6" customHeight="1" spans="1:15">
      <c r="A55" s="145"/>
      <c r="B55" s="140"/>
      <c r="C55" s="129" t="s">
        <v>19</v>
      </c>
      <c r="D55" s="130">
        <f>IFERROR(SUMPRODUCT((危旧房屋改造项目分表!$B$6:$B$353=$D$3)*(危旧房屋改造项目分表!AG$6:$AG$353="否")*(危旧房屋改造项目分表!$O$6:$O$353="棚改征收")*(危旧房屋改造项目分表!$V$6:$V$353&lt;=10%)*危旧房屋改造项目分表!$L$6:$L$353),"")+SUMPRODUCT((危旧房屋改造项目分表!$B$6:$B$353=$D$3)*(危旧房屋改造项目分表!AG$6:$AG$353="否")*(危旧房屋改造项目分表!$O$6:$O$353="拆除补偿")*(危旧房屋改造项目分表!$V$6:$V$353&lt;=10%)*危旧房屋改造项目分表!$L$6:$L$353)</f>
        <v>0</v>
      </c>
      <c r="E55" s="130">
        <f>IFERROR(SUMPRODUCT((危旧房屋改造项目分表!$B$6:$B$353=$E$3)*(危旧房屋改造项目分表!AG$6:$AG$353="否")*(危旧房屋改造项目分表!$O$6:$O$353="棚改征收")*(危旧房屋改造项目分表!$V$6:$V$353&lt;=10%)*危旧房屋改造项目分表!$L$6:$L$353),"")+SUMPRODUCT((危旧房屋改造项目分表!$B$6:$B$353=$E$3)*(危旧房屋改造项目分表!AG$6:$AG$353="否")*(危旧房屋改造项目分表!$O$6:$O$353="拆除补偿")*(危旧房屋改造项目分表!$V$6:$V$353&lt;=10%)*危旧房屋改造项目分表!$L$6:$L$353)</f>
        <v>24219.77</v>
      </c>
      <c r="F55" s="130">
        <f>IFERROR(SUMPRODUCT((危旧房屋改造项目分表!$B$6:$B$353=$F$3)*(危旧房屋改造项目分表!AG$6:$AG$353="否")*(危旧房屋改造项目分表!$O$6:$O$353="棚改征收")*(危旧房屋改造项目分表!$V$6:$V$353&lt;=10%)*危旧房屋改造项目分表!$L$6:$L$353),"")+SUMPRODUCT((危旧房屋改造项目分表!$B$6:$B$353=$F$3)*(危旧房屋改造项目分表!AG$6:$AG$353="否")*(危旧房屋改造项目分表!$O$6:$O$353="拆除补偿")*(危旧房屋改造项目分表!$V$6:$V$353&lt;=10%)*危旧房屋改造项目分表!$L$6:$L$353)</f>
        <v>0</v>
      </c>
      <c r="G55" s="130">
        <f>IFERROR(SUMPRODUCT((危旧房屋改造项目分表!$B$6:$B$353=$G$3)*(危旧房屋改造项目分表!AG$6:$AG$353="否")*(危旧房屋改造项目分表!$O$6:$O$353="棚改征收")*(危旧房屋改造项目分表!$V$6:$V$353&lt;=10%)*危旧房屋改造项目分表!$L$6:$L$353),"")+SUMPRODUCT((危旧房屋改造项目分表!$B$6:$B$353=$G$3)*(危旧房屋改造项目分表!AG$6:$AG$353="否")*(危旧房屋改造项目分表!$O$6:$O$353="拆除补偿")*(危旧房屋改造项目分表!$V$6:$V$353&lt;=10%)*危旧房屋改造项目分表!$L$6:$L$353)</f>
        <v>0</v>
      </c>
      <c r="H55" s="130">
        <f>IFERROR(SUMPRODUCT((危旧房屋改造项目分表!$B$6:$B$353=$H$3)*(危旧房屋改造项目分表!AG$6:$AG$353="否")*(危旧房屋改造项目分表!$O$6:$O$353="棚改征收")*(危旧房屋改造项目分表!$V$6:$V$353&lt;=10%)*危旧房屋改造项目分表!$L$6:$L$353),"")+SUMPRODUCT((危旧房屋改造项目分表!$B$6:$B$353=$H$3)*(危旧房屋改造项目分表!AG$6:$AG$353="否")*(危旧房屋改造项目分表!$O$6:$O$353="拆除补偿")*(危旧房屋改造项目分表!$V$6:$V$353&lt;=10%)*危旧房屋改造项目分表!$L$6:$L$353)</f>
        <v>22057.04</v>
      </c>
      <c r="I55" s="130">
        <f>IFERROR(SUMPRODUCT((危旧房屋改造项目分表!$B$6:$B$353=$I$3)*(危旧房屋改造项目分表!AG$6:$AG$353="否")*(危旧房屋改造项目分表!$O$6:$O$353="棚改征收")*(危旧房屋改造项目分表!$V$6:$V$353&lt;=10%)*危旧房屋改造项目分表!$L$6:$L$353),"")+SUMPRODUCT((危旧房屋改造项目分表!$B$6:$B$353=$I$3)*(危旧房屋改造项目分表!AG$6:$AG$353="否")*(危旧房屋改造项目分表!$O$6:$O$353="拆除补偿")*(危旧房屋改造项目分表!$V$6:$V$353&lt;=10%)*危旧房屋改造项目分表!$L$6:$L$353)</f>
        <v>0</v>
      </c>
      <c r="J55" s="130">
        <f>IFERROR(SUMPRODUCT((危旧房屋改造项目分表!$B$6:$B$353=$J$3)*(危旧房屋改造项目分表!AG$6:$AG$353="否")*(危旧房屋改造项目分表!$O$6:$O$353="棚改征收")*(危旧房屋改造项目分表!$V$6:$V$353&lt;=10%)*危旧房屋改造项目分表!$L$6:$L$353),"")+SUMPRODUCT((危旧房屋改造项目分表!$B$6:$B$353=$J$3)*(危旧房屋改造项目分表!AG$6:$AG$353="否")*(危旧房屋改造项目分表!$O$6:$O$353="拆除补偿")*(危旧房屋改造项目分表!$V$6:$V$353&lt;=10%)*危旧房屋改造项目分表!$L$6:$L$353)</f>
        <v>0</v>
      </c>
      <c r="K55" s="130">
        <f>IFERROR(SUMPRODUCT((危旧房屋改造项目分表!$B$6:$B$353=$K$3)*(危旧房屋改造项目分表!AG$6:$AG$353="否")*(危旧房屋改造项目分表!$O$6:$O$353="棚改征收")*(危旧房屋改造项目分表!$V$6:$V$353&lt;=10%)*危旧房屋改造项目分表!$L$6:$L$353),"")+SUMPRODUCT((危旧房屋改造项目分表!$B$6:$B$353=$K$3)*(危旧房屋改造项目分表!AG$6:$AG$353="否")*(危旧房屋改造项目分表!$O$6:$O$353="拆除补偿")*(危旧房屋改造项目分表!$V$6:$V$353&lt;=10%)*危旧房屋改造项目分表!$L$6:$L$353)</f>
        <v>0</v>
      </c>
      <c r="L55" s="130">
        <f>IFERROR(SUMPRODUCT((危旧房屋改造项目分表!$B$6:$B$353=$L$3)*(危旧房屋改造项目分表!AG$6:$AG$353="否")*(危旧房屋改造项目分表!$O$6:$O$353="棚改征收")*(危旧房屋改造项目分表!$V$6:$V$353&lt;=10%)*危旧房屋改造项目分表!$L$6:$L$353),"")+SUMPRODUCT((危旧房屋改造项目分表!$B$6:$B$353=$L$3)*(危旧房屋改造项目分表!AG$6:$AG$353="否")*(危旧房屋改造项目分表!$O$6:$O$353="拆除补偿")*(危旧房屋改造项目分表!$V$6:$V$353&lt;=10%)*危旧房屋改造项目分表!$L$6:$L$353)</f>
        <v>0</v>
      </c>
      <c r="M55" s="130">
        <f>IFERROR(SUMPRODUCT((危旧房屋改造项目分表!$AG$6:AH$353="是")*(危旧房屋改造项目分表!$O$6:$O$353="棚改征收")*(危旧房屋改造项目分表!$V$6:$V$353&lt;=10%)*危旧房屋改造项目分表!$L$6:$L$353),"")+SUMPRODUCT((危旧房屋改造项目分表!$AG$6:AH$353="是")*(危旧房屋改造项目分表!$O$6:$O$353="拆除补偿")*(危旧房屋改造项目分表!$V$6:$V$353&lt;=10%)*危旧房屋改造项目分表!$L$6:$L$353)</f>
        <v>5708.7</v>
      </c>
      <c r="N55" s="130">
        <f>SUM($D$55:$M$55)</f>
        <v>51985.51</v>
      </c>
      <c r="O55" s="149">
        <f>IF(ISERROR(N55/$N$67),"",N55/$N$67)</f>
        <v>1</v>
      </c>
    </row>
    <row r="56" ht="15.6" customHeight="1" spans="1:15">
      <c r="A56" s="145"/>
      <c r="B56" s="129" t="s">
        <v>30</v>
      </c>
      <c r="C56" s="129" t="s">
        <v>17</v>
      </c>
      <c r="D56" s="130">
        <f>IFERROR(SUMPRODUCT((危旧房屋改造项目分表!$B$6:$B$353=$D$3)*(危旧房屋改造项目分表!AG$6:$AG$353="否")*(危旧房屋改造项目分表!$O$6:$O$353="棚改征收")*(危旧房屋改造项目分表!$V$6:$V$353&gt;=11%)*(危旧房屋改造项目分表!$V$6:$V$353&lt;=60%)*危旧房屋改造项目分表!$AF$6:$AF$353),"")+SUMPRODUCT((危旧房屋改造项目分表!$B$6:$B$353=$D$3)*(危旧房屋改造项目分表!AG$6:$AG$353="否")*(危旧房屋改造项目分表!$O$6:$O$353="拆除补偿")*(危旧房屋改造项目分表!$V$6:$V$353&gt;=11%)*(危旧房屋改造项目分表!$V$6:$V$353&lt;=60%)*危旧房屋改造项目分表!$AF$6:$AF$353)</f>
        <v>0</v>
      </c>
      <c r="E56" s="130">
        <f>IFERROR(SUMPRODUCT((危旧房屋改造项目分表!$B$6:$B$353=$E$3)*(危旧房屋改造项目分表!AG$6:$AG$353="否")*(危旧房屋改造项目分表!$O$6:$O$353="棚改征收")*(危旧房屋改造项目分表!$V$6:$V$353&gt;=11%)*(危旧房屋改造项目分表!$V$6:$V$353&lt;=60%)*危旧房屋改造项目分表!$AF$6:$AF$353),"")+SUMPRODUCT((危旧房屋改造项目分表!$B$6:$B$353=$E$3)*(危旧房屋改造项目分表!AG$6:$AG$353="否")*(危旧房屋改造项目分表!$O$6:$O$353="拆除补偿")*(危旧房屋改造项目分表!$V$6:$V$353&gt;=11%)*(危旧房屋改造项目分表!$V$6:$V$353&lt;=60%)*危旧房屋改造项目分表!$AF$6:$AF$353)</f>
        <v>0</v>
      </c>
      <c r="F56" s="130">
        <f>IFERROR(SUMPRODUCT((危旧房屋改造项目分表!$B$6:$B$353=$F$3)*(危旧房屋改造项目分表!AG$6:$AG$353="否")*(危旧房屋改造项目分表!$O$6:$O$353="棚改征收")*(危旧房屋改造项目分表!$V$6:$V$353&gt;=11%)*(危旧房屋改造项目分表!$V$6:$V$353&lt;=60%)*危旧房屋改造项目分表!$AF$6:$AF$353),"")+SUMPRODUCT((危旧房屋改造项目分表!$B$6:$B$353=$F$3)*(危旧房屋改造项目分表!AG$6:$AG$353="否")*(危旧房屋改造项目分表!$O$6:$O$353="拆除补偿")*(危旧房屋改造项目分表!$V$6:$V$353&gt;=11%)*(危旧房屋改造项目分表!$V$6:$V$353&lt;=60%)*危旧房屋改造项目分表!$AF$6:$AF$353)</f>
        <v>0</v>
      </c>
      <c r="G56" s="130">
        <f>IFERROR(SUMPRODUCT((危旧房屋改造项目分表!$B$6:$B$353=$G$3)*(危旧房屋改造项目分表!AG$6:$AG$353="否")*(危旧房屋改造项目分表!$O$6:$O$353="棚改征收")*(危旧房屋改造项目分表!$V$6:$V$353&gt;=11%)*(危旧房屋改造项目分表!$V$6:$V$353&lt;=60%)*危旧房屋改造项目分表!$AF$6:$AF$353),"")+SUMPRODUCT((危旧房屋改造项目分表!$B$6:$B$353=$G$3)*(危旧房屋改造项目分表!AG$6:$AG$353="否")*(危旧房屋改造项目分表!$O$6:$O$353="拆除补偿")*(危旧房屋改造项目分表!$V$6:$V$353&gt;=11%)*(危旧房屋改造项目分表!$V$6:$V$353&lt;=60%)*危旧房屋改造项目分表!$AF$6:$AF$353)</f>
        <v>0</v>
      </c>
      <c r="H56" s="130">
        <f>IFERROR(SUMPRODUCT((危旧房屋改造项目分表!$B$6:$B$353=$H$3)*(危旧房屋改造项目分表!AG$6:$AG$353="否")*(危旧房屋改造项目分表!$O$6:$O$353="棚改征收")*(危旧房屋改造项目分表!$V$6:$V$353&gt;=11%)*(危旧房屋改造项目分表!$V$6:$V$353&lt;=60%)*危旧房屋改造项目分表!$AF$6:$AF$353),"")+SUMPRODUCT((危旧房屋改造项目分表!$B$6:$B$353=$H$3)*(危旧房屋改造项目分表!AG$6:$AG$353="否")*(危旧房屋改造项目分表!$O$6:$O$353="拆除补偿")*(危旧房屋改造项目分表!$V$6:$V$353&gt;=11%)*(危旧房屋改造项目分表!$V$6:$V$353&lt;=60%)*危旧房屋改造项目分表!$AF$6:$AF$353)</f>
        <v>0</v>
      </c>
      <c r="I56" s="130">
        <f>IFERROR(SUMPRODUCT((危旧房屋改造项目分表!$B$6:$B$353=$I$3)*(危旧房屋改造项目分表!AG$6:$AG$353="否")*(危旧房屋改造项目分表!$O$6:$O$353="棚改征收")*(危旧房屋改造项目分表!$V$6:$V$353&gt;=11%)*(危旧房屋改造项目分表!$V$6:$V$353&lt;=60%)*危旧房屋改造项目分表!$AF$6:$AF$353),"")+SUMPRODUCT((危旧房屋改造项目分表!$B$6:$B$353=$I$3)*(危旧房屋改造项目分表!AG$6:$AG$353="否")*(危旧房屋改造项目分表!$O$6:$O$353="拆除补偿")*(危旧房屋改造项目分表!$V$6:$V$353&gt;=11%)*(危旧房屋改造项目分表!$V$6:$V$353&lt;=60%)*危旧房屋改造项目分表!$AF$6:$AF$353)</f>
        <v>0</v>
      </c>
      <c r="J56" s="130">
        <f>IFERROR(SUMPRODUCT((危旧房屋改造项目分表!$B$6:$B$353=$J$3)*(危旧房屋改造项目分表!AG$6:$AG$353="否")*(危旧房屋改造项目分表!$O$6:$O$353="棚改征收")*(危旧房屋改造项目分表!$V$6:$V$353&gt;=11%)*(危旧房屋改造项目分表!$V$6:$V$353&lt;=60%)*危旧房屋改造项目分表!$AF$6:$AF$353),"")+SUMPRODUCT((危旧房屋改造项目分表!$B$6:$B$353=$J$3)*(危旧房屋改造项目分表!AG$6:$AG$353="否")*(危旧房屋改造项目分表!$O$6:$O$353="拆除补偿")*(危旧房屋改造项目分表!$V$6:$V$353&gt;=11%)*(危旧房屋改造项目分表!$V$6:$V$353&lt;=60%)*危旧房屋改造项目分表!$AF$6:$AF$353)</f>
        <v>0</v>
      </c>
      <c r="K56" s="130">
        <f>IFERROR(SUMPRODUCT((危旧房屋改造项目分表!$B$6:$B$353=$K$3)*(危旧房屋改造项目分表!AG$6:$AG$353="否")*(危旧房屋改造项目分表!$O$6:$O$353="棚改征收")*(危旧房屋改造项目分表!$V$6:$V$353&gt;=11%)*(危旧房屋改造项目分表!$V$6:$V$353&lt;=60%)*危旧房屋改造项目分表!$AF$6:$AF$353),"")+SUMPRODUCT((危旧房屋改造项目分表!$B$6:$B$353=$K$3)*(危旧房屋改造项目分表!AG$6:$AG$353="否")*(危旧房屋改造项目分表!$O$6:$O$353="拆除补偿")*(危旧房屋改造项目分表!$V$6:$V$353&gt;=11%)*(危旧房屋改造项目分表!$V$6:$V$353&lt;=60%)*危旧房屋改造项目分表!$AF$6:$AF$353)</f>
        <v>0</v>
      </c>
      <c r="L56" s="130">
        <f>IFERROR(SUMPRODUCT((危旧房屋改造项目分表!$B$6:$B$353=$L$3)*(危旧房屋改造项目分表!AG$6:$AG$353="否")*(危旧房屋改造项目分表!$O$6:$O$353="棚改征收")*(危旧房屋改造项目分表!$V$6:$V$353&gt;=11%)*(危旧房屋改造项目分表!$V$6:$V$353&lt;=60%)*危旧房屋改造项目分表!$AF$6:$AF$353),"")+SUMPRODUCT((危旧房屋改造项目分表!$B$6:$B$353=$L$3)*(危旧房屋改造项目分表!AG$6:$AG$353="否")*(危旧房屋改造项目分表!$O$6:$O$353="拆除补偿")*(危旧房屋改造项目分表!$V$6:$V$353&gt;=11%)*(危旧房屋改造项目分表!$V$6:$V$353&lt;=60%)*危旧房屋改造项目分表!$AF$6:$AF$353)</f>
        <v>0</v>
      </c>
      <c r="M56" s="130">
        <f>IFERROR(SUMPRODUCT((危旧房屋改造项目分表!$AG$6:AH$353="是")*(危旧房屋改造项目分表!$O$6:$O$353="棚改征收")*(危旧房屋改造项目分表!$V$6:$V$353&gt;=11%)*(危旧房屋改造项目分表!$V$6:$V$353&lt;=60%)*危旧房屋改造项目分表!$AF$6:$AF$353),"")+SUMPRODUCT((危旧房屋改造项目分表!$AG$6:AH$353="是")*(危旧房屋改造项目分表!$O$6:$O$353="拆除补偿")*(危旧房屋改造项目分表!$V$6:$V$353&gt;=11%)*(危旧房屋改造项目分表!$V$6:$V$353&lt;=60%)*危旧房屋改造项目分表!$AF$6:$AF$353)</f>
        <v>0</v>
      </c>
      <c r="N56" s="130">
        <f>SUM($D$56:$M$56)</f>
        <v>0</v>
      </c>
      <c r="O56" s="149">
        <f>IF(ISERROR(N56/$N$65),"",N56/$N$65)</f>
        <v>0</v>
      </c>
    </row>
    <row r="57" ht="15.6" customHeight="1" spans="1:15">
      <c r="A57" s="145"/>
      <c r="B57" s="129"/>
      <c r="C57" s="129" t="s">
        <v>18</v>
      </c>
      <c r="D57" s="130">
        <f>IFERROR(SUMPRODUCT((危旧房屋改造项目分表!$B$6:$B$353=$D$3)*(危旧房屋改造项目分表!AG$6:$AG$353="否")*(危旧房屋改造项目分表!$O$6:$O$353="棚改征收")*(危旧房屋改造项目分表!$V$6:$V$353&gt;=11%)*(危旧房屋改造项目分表!$V$6:$V$353&lt;=60%)*危旧房屋改造项目分表!$K$6:$K$353),"")+SUMPRODUCT((危旧房屋改造项目分表!$B$6:$B$353=$D$3)*(危旧房屋改造项目分表!AG$6:$AG$353="否")*(危旧房屋改造项目分表!$O$6:$O$353="拆除补偿")*(危旧房屋改造项目分表!$V$6:$V$353&gt;=11%)*(危旧房屋改造项目分表!$V$6:$V$353&lt;=60%)*危旧房屋改造项目分表!$K$6:$K$353)</f>
        <v>0</v>
      </c>
      <c r="E57" s="130">
        <f>IFERROR(SUMPRODUCT((危旧房屋改造项目分表!$B$6:$B$353=$E$3)*(危旧房屋改造项目分表!$AG$6:AH$353="否")*(危旧房屋改造项目分表!$O$6:$O$353="棚改征收")*(危旧房屋改造项目分表!$V$6:$V$353&gt;=11%)*(危旧房屋改造项目分表!$V$6:$V$353&lt;=60%)*危旧房屋改造项目分表!$K$6:$K$353),"")+SUMPRODUCT((危旧房屋改造项目分表!$B$6:$B$353=$E$3)*(危旧房屋改造项目分表!AG$6:$AG$353="否")*(危旧房屋改造项目分表!$O$6:$O$353="拆除补偿")*(危旧房屋改造项目分表!$V$6:$V$353&gt;=11%)*(危旧房屋改造项目分表!$V$6:$V$353&lt;=60%)*危旧房屋改造项目分表!$K$6:$K$353)</f>
        <v>0</v>
      </c>
      <c r="F57" s="130">
        <f>IFERROR(SUMPRODUCT((危旧房屋改造项目分表!$B$6:$B$353=$F$3)*(危旧房屋改造项目分表!$AG$6:AI$353="否")*(危旧房屋改造项目分表!$O$6:$O$353="棚改征收")*(危旧房屋改造项目分表!$V$6:$V$353&gt;=11%)*(危旧房屋改造项目分表!$V$6:$V$353&lt;=60%)*危旧房屋改造项目分表!$K$6:$K$353),"")+SUMPRODUCT((危旧房屋改造项目分表!$B$6:$B$353=$F$3)*(危旧房屋改造项目分表!AG$6:$AG$353="否")*(危旧房屋改造项目分表!$O$6:$O$353="拆除补偿")*(危旧房屋改造项目分表!$V$6:$V$353&gt;=11%)*(危旧房屋改造项目分表!$V$6:$V$353&lt;=60%)*危旧房屋改造项目分表!$K$6:$K$353)</f>
        <v>0</v>
      </c>
      <c r="G57" s="130">
        <f>IFERROR(SUMPRODUCT((危旧房屋改造项目分表!$B$6:$B$353=$G$3)*(危旧房屋改造项目分表!$AG$6:AJ$353="否")*(危旧房屋改造项目分表!$O$6:$O$353="棚改征收")*(危旧房屋改造项目分表!$V$6:$V$353&gt;=11%)*(危旧房屋改造项目分表!$V$6:$V$353&lt;=60%)*危旧房屋改造项目分表!$K$6:$K$353),"")+SUMPRODUCT((危旧房屋改造项目分表!$B$6:$B$353=$G$3)*(危旧房屋改造项目分表!AG$6:$AG$353="否")*(危旧房屋改造项目分表!$O$6:$O$353="拆除补偿")*(危旧房屋改造项目分表!$V$6:$V$353&gt;=11%)*(危旧房屋改造项目分表!$V$6:$V$353&lt;=60%)*危旧房屋改造项目分表!$K$6:$K$353)</f>
        <v>0</v>
      </c>
      <c r="H57" s="130">
        <f>IFERROR(SUMPRODUCT((危旧房屋改造项目分表!$B$6:$B$353=$H$3)*(危旧房屋改造项目分表!$AG$6:AK$353="否")*(危旧房屋改造项目分表!$O$6:$O$353="棚改征收")*(危旧房屋改造项目分表!$V$6:$V$353&gt;=11%)*(危旧房屋改造项目分表!$V$6:$V$353&lt;=60%)*危旧房屋改造项目分表!$K$6:$K$353),"")+SUMPRODUCT((危旧房屋改造项目分表!$B$6:$B$353=$H$3)*(危旧房屋改造项目分表!AG$6:$AG$353="否")*(危旧房屋改造项目分表!$O$6:$O$353="拆除补偿")*(危旧房屋改造项目分表!$V$6:$V$353&gt;=11%)*(危旧房屋改造项目分表!$V$6:$V$353&lt;=60%)*危旧房屋改造项目分表!$K$6:$K$353)</f>
        <v>0</v>
      </c>
      <c r="I57" s="130">
        <f>IFERROR(SUMPRODUCT((危旧房屋改造项目分表!$B$6:$B$353=$I$3)*(危旧房屋改造项目分表!$AG$6:AL$353="否")*(危旧房屋改造项目分表!$O$6:$O$353="棚改征收")*(危旧房屋改造项目分表!$V$6:$V$353&gt;=11%)*(危旧房屋改造项目分表!$V$6:$V$353&lt;=60%)*危旧房屋改造项目分表!$K$6:$K$353),"")+SUMPRODUCT((危旧房屋改造项目分表!$B$6:$B$353=$I$3)*(危旧房屋改造项目分表!AG$6:$AG$353="否")*(危旧房屋改造项目分表!$O$6:$O$353="拆除补偿")*(危旧房屋改造项目分表!$V$6:$V$353&gt;=11%)*(危旧房屋改造项目分表!$V$6:$V$353&lt;=60%)*危旧房屋改造项目分表!$K$6:$K$353)</f>
        <v>0</v>
      </c>
      <c r="J57" s="130">
        <f>IFERROR(SUMPRODUCT((危旧房屋改造项目分表!$B$6:$B$353=$J$3)*(危旧房屋改造项目分表!$AG$6:AM$353="否")*(危旧房屋改造项目分表!$O$6:$O$353="棚改征收")*(危旧房屋改造项目分表!$V$6:$V$353&gt;=11%)*(危旧房屋改造项目分表!$V$6:$V$353&lt;=60%)*危旧房屋改造项目分表!$K$6:$K$353),"")+SUMPRODUCT((危旧房屋改造项目分表!$B$6:$B$353=$J$3)*(危旧房屋改造项目分表!AG$6:$AG$353="否")*(危旧房屋改造项目分表!$O$6:$O$353="拆除补偿")*(危旧房屋改造项目分表!$V$6:$V$353&gt;=11%)*(危旧房屋改造项目分表!$V$6:$V$353&lt;=60%)*危旧房屋改造项目分表!$K$6:$K$353)</f>
        <v>0</v>
      </c>
      <c r="K57" s="130">
        <f>IFERROR(SUMPRODUCT((危旧房屋改造项目分表!$B$6:$B$353=$K$3)*(危旧房屋改造项目分表!$AG$6:AN$353="否")*(危旧房屋改造项目分表!$O$6:$O$353="棚改征收")*(危旧房屋改造项目分表!$V$6:$V$353&gt;=11%)*(危旧房屋改造项目分表!$V$6:$V$353&lt;=60%)*危旧房屋改造项目分表!$K$6:$K$353),"")+SUMPRODUCT((危旧房屋改造项目分表!$B$6:$B$353=$K$3)*(危旧房屋改造项目分表!AG$6:$AG$353="否")*(危旧房屋改造项目分表!$O$6:$O$353="拆除补偿")*(危旧房屋改造项目分表!$V$6:$V$353&gt;=11%)*(危旧房屋改造项目分表!$V$6:$V$353&lt;=60%)*危旧房屋改造项目分表!$K$6:$K$353)</f>
        <v>0</v>
      </c>
      <c r="L57" s="130">
        <f>IFERROR(SUMPRODUCT((危旧房屋改造项目分表!$B$6:$B$353=$L$3)*(危旧房屋改造项目分表!$AG$6:AO$353="否")*(危旧房屋改造项目分表!$O$6:$O$353="棚改征收")*(危旧房屋改造项目分表!$V$6:$V$353&gt;=11%)*(危旧房屋改造项目分表!$V$6:$V$353&lt;=60%)*危旧房屋改造项目分表!$K$6:$K$353),"")+SUMPRODUCT((危旧房屋改造项目分表!$B$6:$B$353=$L$3)*(危旧房屋改造项目分表!AG$6:$AG$353="否")*(危旧房屋改造项目分表!$O$6:$O$353="拆除补偿")*(危旧房屋改造项目分表!$V$6:$V$353&gt;=11%)*(危旧房屋改造项目分表!$V$6:$V$353&lt;=60%)*危旧房屋改造项目分表!$K$6:$K$353)</f>
        <v>0</v>
      </c>
      <c r="M57" s="130">
        <f>IFERROR(SUMPRODUCT((危旧房屋改造项目分表!$AG$6:AP$353="是")*(危旧房屋改造项目分表!$O$6:$O$353="棚改征收")*(危旧房屋改造项目分表!$V$6:$V$353&gt;=11%)*(危旧房屋改造项目分表!$V$6:$V$353&lt;=60%)*危旧房屋改造项目分表!$K$6:$K$353),"")+SUMPRODUCT((危旧房屋改造项目分表!$AG$6:AH$353="是")*(危旧房屋改造项目分表!$O$6:$O$353="拆除补偿")*(危旧房屋改造项目分表!$V$6:$V$353&gt;=11%)*(危旧房屋改造项目分表!$V$6:$V$353&lt;=60%)*危旧房屋改造项目分表!$K$6:$K$353)</f>
        <v>0</v>
      </c>
      <c r="N57" s="130">
        <f>SUM($D$57:$M$57)</f>
        <v>0</v>
      </c>
      <c r="O57" s="149">
        <f>IF(ISERROR(N57/$N$66),"",N57/$N$66)</f>
        <v>0</v>
      </c>
    </row>
    <row r="58" ht="15.6" customHeight="1" spans="1:15">
      <c r="A58" s="145"/>
      <c r="B58" s="129"/>
      <c r="C58" s="129" t="s">
        <v>19</v>
      </c>
      <c r="D58" s="130">
        <f>IFERROR(SUMPRODUCT((危旧房屋改造项目分表!$B$6:$B$353=$D$3)*(危旧房屋改造项目分表!AG$6:$AG$353="否")*(危旧房屋改造项目分表!$O$6:$O$353="棚改征收")*(危旧房屋改造项目分表!$V$6:$V$353&gt;=11%)*(危旧房屋改造项目分表!$V$6:$V$353&lt;=60%)*危旧房屋改造项目分表!$L$6:$L$353),"")+SUMPRODUCT((危旧房屋改造项目分表!$B$6:$B$353=$D$3)*(危旧房屋改造项目分表!AG$6:$AG$353="否")*(危旧房屋改造项目分表!$O$6:$O$353="拆除补偿")*(危旧房屋改造项目分表!$V$6:$V$353&gt;=11%)*(危旧房屋改造项目分表!$V$6:$V$353&lt;=60%)*危旧房屋改造项目分表!$L$6:$L$353)</f>
        <v>0</v>
      </c>
      <c r="E58" s="130">
        <f>IFERROR(SUMPRODUCT((危旧房屋改造项目分表!$B$6:$B$353=$F$3)*(危旧房屋改造项目分表!AG$6:$AG$353="否")*(危旧房屋改造项目分表!$O$6:$O$353="棚改征收")*(危旧房屋改造项目分表!$V$6:$V$353&gt;=11%)*(危旧房屋改造项目分表!$V$6:$V$353&lt;=60%)*危旧房屋改造项目分表!$L$6:$L$353),"")+SUMPRODUCT((危旧房屋改造项目分表!$B$6:$B$353=$F$3)*(危旧房屋改造项目分表!AG$6:$AG$353="否")*(危旧房屋改造项目分表!$O$6:$O$353="拆除补偿")*(危旧房屋改造项目分表!$V$6:$V$353&gt;=11%)*(危旧房屋改造项目分表!$V$6:$V$353&lt;=60%)*危旧房屋改造项目分表!$L$6:$L$353)</f>
        <v>0</v>
      </c>
      <c r="F58" s="130">
        <f>IFERROR(SUMPRODUCT((危旧房屋改造项目分表!$B$6:$B$353=$G$3)*(危旧房屋改造项目分表!AG$6:$AG$353="否")*(危旧房屋改造项目分表!$O$6:$O$353="棚改征收")*(危旧房屋改造项目分表!$V$6:$V$353&gt;=11%)*(危旧房屋改造项目分表!$V$6:$V$353&lt;=60%)*危旧房屋改造项目分表!$L$6:$L$353),"")+SUMPRODUCT((危旧房屋改造项目分表!$B$6:$B$353=$G$3)*(危旧房屋改造项目分表!AG$6:$AG$353="否")*(危旧房屋改造项目分表!$O$6:$O$353="拆除补偿")*(危旧房屋改造项目分表!$V$6:$V$353&gt;=11%)*(危旧房屋改造项目分表!$V$6:$V$353&lt;=60%)*危旧房屋改造项目分表!$L$6:$L$353)</f>
        <v>0</v>
      </c>
      <c r="G58" s="130">
        <f>IFERROR(SUMPRODUCT((危旧房屋改造项目分表!$B$6:$B$353=$G$3)*(危旧房屋改造项目分表!AG$6:$AG$353="否")*(危旧房屋改造项目分表!$O$6:$O$353="棚改征收")*(危旧房屋改造项目分表!$V$6:$V$353&gt;=11%)*(危旧房屋改造项目分表!$V$6:$V$353&lt;=60%)*危旧房屋改造项目分表!$L$6:$L$353),"")+SUMPRODUCT((危旧房屋改造项目分表!$B$6:$B$353=$G$3)*(危旧房屋改造项目分表!AG$6:$AG$353="否")*(危旧房屋改造项目分表!$O$6:$O$353="拆除补偿")*(危旧房屋改造项目分表!$V$6:$V$353&gt;=11%)*(危旧房屋改造项目分表!$V$6:$V$353&lt;=60%)*危旧房屋改造项目分表!$L$6:$L$353)</f>
        <v>0</v>
      </c>
      <c r="H58" s="130">
        <f>IFERROR(SUMPRODUCT((危旧房屋改造项目分表!$B$6:$B$353=$H$3)*(危旧房屋改造项目分表!AG$6:$AG$353="否")*(危旧房屋改造项目分表!$O$6:$O$353="棚改征收")*(危旧房屋改造项目分表!$V$6:$V$353&gt;=11%)*(危旧房屋改造项目分表!$V$6:$V$353&lt;=60%)*危旧房屋改造项目分表!$L$6:$L$353),"")+SUMPRODUCT((危旧房屋改造项目分表!$B$6:$B$353=$H$3)*(危旧房屋改造项目分表!AG$6:$AG$353="否")*(危旧房屋改造项目分表!$O$6:$O$353="拆除补偿")*(危旧房屋改造项目分表!$V$6:$V$353&gt;=11%)*(危旧房屋改造项目分表!$V$6:$V$353&lt;=60%)*危旧房屋改造项目分表!$L$6:$L$353)</f>
        <v>0</v>
      </c>
      <c r="I58" s="130">
        <f>IFERROR(SUMPRODUCT((危旧房屋改造项目分表!$B$6:$B$353=$I$3)*(危旧房屋改造项目分表!AG$6:$AG$353="否")*(危旧房屋改造项目分表!$O$6:$O$353="棚改征收")*(危旧房屋改造项目分表!$V$6:$V$353&gt;=11%)*(危旧房屋改造项目分表!$V$6:$V$353&lt;=60%)*危旧房屋改造项目分表!$L$6:$L$353),"")+SUMPRODUCT((危旧房屋改造项目分表!$B$6:$B$353=$I$3)*(危旧房屋改造项目分表!AG$6:$AG$353="否")*(危旧房屋改造项目分表!$O$6:$O$353="拆除补偿")*(危旧房屋改造项目分表!$V$6:$V$353&gt;=11%)*(危旧房屋改造项目分表!$V$6:$V$353&lt;=60%)*危旧房屋改造项目分表!$L$6:$L$353)</f>
        <v>0</v>
      </c>
      <c r="J58" s="130">
        <f>IFERROR(SUMPRODUCT((危旧房屋改造项目分表!$B$6:$B$353=$J$3)*(危旧房屋改造项目分表!AG$6:$AG$353="否")*(危旧房屋改造项目分表!$O$6:$O$353="棚改征收")*(危旧房屋改造项目分表!$V$6:$V$353&gt;=11%)*(危旧房屋改造项目分表!$V$6:$V$353&lt;=60%)*危旧房屋改造项目分表!$L$6:$L$353),"")+SUMPRODUCT((危旧房屋改造项目分表!$B$6:$B$353=$J$3)*(危旧房屋改造项目分表!AG$6:$AG$353="否")*(危旧房屋改造项目分表!$O$6:$O$353="拆除补偿")*(危旧房屋改造项目分表!$V$6:$V$353&gt;=11%)*(危旧房屋改造项目分表!$V$6:$V$353&lt;=60%)*危旧房屋改造项目分表!$L$6:$L$353)</f>
        <v>0</v>
      </c>
      <c r="K58" s="130">
        <f>IFERROR(SUMPRODUCT((危旧房屋改造项目分表!$B$6:$B$353=$K$3)*(危旧房屋改造项目分表!AG$6:$AG$353="否")*(危旧房屋改造项目分表!$O$6:$O$353="棚改征收")*(危旧房屋改造项目分表!$V$6:$V$353&gt;=11%)*(危旧房屋改造项目分表!$V$6:$V$353&lt;=60%)*危旧房屋改造项目分表!$L$6:$L$353),"")+SUMPRODUCT((危旧房屋改造项目分表!$B$6:$B$353=$K$3)*(危旧房屋改造项目分表!AG$6:$AG$353="否")*(危旧房屋改造项目分表!$O$6:$O$353="拆除补偿")*(危旧房屋改造项目分表!$V$6:$V$353&gt;=11%)*(危旧房屋改造项目分表!$V$6:$V$353&lt;=60%)*危旧房屋改造项目分表!$L$6:$L$353)</f>
        <v>0</v>
      </c>
      <c r="L58" s="130">
        <f>IFERROR(SUMPRODUCT((危旧房屋改造项目分表!$B$6:$B$353=$L$3)*(危旧房屋改造项目分表!AG$6:$AG$353="否")*(危旧房屋改造项目分表!$O$6:$O$353="棚改征收")*(危旧房屋改造项目分表!$V$6:$V$353&gt;=11%)*(危旧房屋改造项目分表!$V$6:$V$353&lt;=60%)*危旧房屋改造项目分表!$L$6:$L$353),"")+SUMPRODUCT((危旧房屋改造项目分表!$B$6:$B$353=$L$3)*(危旧房屋改造项目分表!AG$6:$AG$353="否")*(危旧房屋改造项目分表!$O$6:$O$353="拆除补偿")*(危旧房屋改造项目分表!$V$6:$V$353&gt;=11%)*(危旧房屋改造项目分表!$V$6:$V$353&lt;=60%)*危旧房屋改造项目分表!$L$6:$L$353)</f>
        <v>0</v>
      </c>
      <c r="M58" s="130">
        <f>IFERROR(SUMPRODUCT((危旧房屋改造项目分表!$AG$6:AH$353="是")*(危旧房屋改造项目分表!$O$6:$O$353="棚改征收")*(危旧房屋改造项目分表!$V$6:$V$353&gt;=11%)*(危旧房屋改造项目分表!$V$6:$V$353&lt;=60%)*危旧房屋改造项目分表!$L$6:$L$353),"")+SUMPRODUCT((危旧房屋改造项目分表!$AG$6:AH$353="是")*(危旧房屋改造项目分表!$O$6:$O$353="拆除补偿")*(危旧房屋改造项目分表!$V$6:$V$353&gt;=11%)*(危旧房屋改造项目分表!$V$6:$V$353&lt;=60%)*危旧房屋改造项目分表!$L$6:$L$353)</f>
        <v>0</v>
      </c>
      <c r="N58" s="130">
        <f>SUM($D$58:$M$58)</f>
        <v>0</v>
      </c>
      <c r="O58" s="149">
        <f>IF(ISERROR(N58/$N$67),"",N58/$N$67)</f>
        <v>0</v>
      </c>
    </row>
    <row r="59" ht="15.6" customHeight="1" spans="1:15">
      <c r="A59" s="145"/>
      <c r="B59" s="129" t="s">
        <v>31</v>
      </c>
      <c r="C59" s="129" t="s">
        <v>17</v>
      </c>
      <c r="D59" s="130">
        <f>IFERROR(SUMPRODUCT((危旧房屋改造项目分表!$B$6:$B$353=$D$3)*(危旧房屋改造项目分表!AG$6:$AG$353="否")*(危旧房屋改造项目分表!$O$6:$O$353="棚改征收")*(危旧房屋改造项目分表!$V$6:$V$353&gt;=61%)*(危旧房屋改造项目分表!$V$6:$V$353&lt;=89%)*危旧房屋改造项目分表!$AF$6:$AF$353),"")+SUMPRODUCT((危旧房屋改造项目分表!$B$6:$B$353=$D$3)*(危旧房屋改造项目分表!AG$6:$AG$353="否")*(危旧房屋改造项目分表!$O$6:$O$353="拆除补偿")*(危旧房屋改造项目分表!$V$6:$V$353&gt;=61%)*(危旧房屋改造项目分表!$V$6:$V$353&lt;=89%)*危旧房屋改造项目分表!$AF$6:$AF$353)</f>
        <v>0</v>
      </c>
      <c r="E59" s="130">
        <f>IFERROR(SUMPRODUCT((危旧房屋改造项目分表!$B$6:$B$353=$E$3)*(危旧房屋改造项目分表!AG$6:$AG$353="否")*(危旧房屋改造项目分表!$O$6:$O$353="棚改征收")*(危旧房屋改造项目分表!$V$6:$V$353&gt;=61%)*(危旧房屋改造项目分表!$V$6:$V$353&lt;=89%)*危旧房屋改造项目分表!$AF$6:$AF$353),"")+SUMPRODUCT((危旧房屋改造项目分表!$B$6:$B$353=$E$3)*(危旧房屋改造项目分表!AG$6:$AG$353="否")*(危旧房屋改造项目分表!$O$6:$O$353="拆除补偿")*(危旧房屋改造项目分表!$V$6:$V$353&gt;=61%)*(危旧房屋改造项目分表!$V$6:$V$353&lt;=89%)*危旧房屋改造项目分表!$AF$6:$AF$353)</f>
        <v>0</v>
      </c>
      <c r="F59" s="130">
        <f>IFERROR(SUMPRODUCT((危旧房屋改造项目分表!$B$6:$B$353=$F$3)*(危旧房屋改造项目分表!AG$6:$AG$353="否")*(危旧房屋改造项目分表!$O$6:$O$353="棚改征收")*(危旧房屋改造项目分表!$V$6:$V$353&gt;=61%)*(危旧房屋改造项目分表!$V$6:$V$353&lt;=89%)*危旧房屋改造项目分表!$AF$6:$AF$353),"")+SUMPRODUCT((危旧房屋改造项目分表!$B$6:$B$353=$F$3)*(危旧房屋改造项目分表!AG$6:$AG$353="否")*(危旧房屋改造项目分表!$O$6:$O$353="拆除补偿")*(危旧房屋改造项目分表!$V$6:$V$353&gt;=61%)*(危旧房屋改造项目分表!$V$6:$V$353&lt;=89%)*危旧房屋改造项目分表!$AF$6:$AF$353)</f>
        <v>0</v>
      </c>
      <c r="G59" s="130">
        <f>IFERROR(SUMPRODUCT((危旧房屋改造项目分表!$B$6:$B$353=$G$3)*(危旧房屋改造项目分表!AG$6:$AG$353="否")*(危旧房屋改造项目分表!$O$6:$O$353="棚改征收")*(危旧房屋改造项目分表!$V$6:$V$353&gt;=61%)*(危旧房屋改造项目分表!$V$6:$V$353&lt;=89%)*危旧房屋改造项目分表!$AF$6:$AF$353),"")+SUMPRODUCT((危旧房屋改造项目分表!$B$6:$B$353=$G$3)*(危旧房屋改造项目分表!AG$6:$AG$353="否")*(危旧房屋改造项目分表!$O$6:$O$353="拆除补偿")*(危旧房屋改造项目分表!$V$6:$V$353&gt;=61%)*(危旧房屋改造项目分表!$V$6:$V$353&lt;=89%)*危旧房屋改造项目分表!$AF$6:$AF$353)</f>
        <v>0</v>
      </c>
      <c r="H59" s="130">
        <f>IFERROR(SUMPRODUCT((危旧房屋改造项目分表!$B$6:$B$353=$H$3)*(危旧房屋改造项目分表!AG$6:$AG$353="否")*(危旧房屋改造项目分表!$O$6:$O$353="棚改征收")*(危旧房屋改造项目分表!$V$6:$V$353&gt;=61%)*(危旧房屋改造项目分表!$V$6:$V$353&lt;=89%)*危旧房屋改造项目分表!$AF$6:$AF$353),"")+SUMPRODUCT((危旧房屋改造项目分表!$B$6:$B$353=$H$3)*(危旧房屋改造项目分表!AG$6:$AG$353="否")*(危旧房屋改造项目分表!$O$6:$O$353="拆除补偿")*(危旧房屋改造项目分表!$V$6:$V$353&gt;=61%)*(危旧房屋改造项目分表!$V$6:$V$353&lt;=89%)*危旧房屋改造项目分表!$AF$6:$AF$353)</f>
        <v>0</v>
      </c>
      <c r="I59" s="130">
        <f>IFERROR(SUMPRODUCT((危旧房屋改造项目分表!$B$6:$B$353=$I$3)*(危旧房屋改造项目分表!AG$6:$AG$353="否")*(危旧房屋改造项目分表!$O$6:$O$353="棚改征收")*(危旧房屋改造项目分表!$V$6:$V$353&gt;=61%)*(危旧房屋改造项目分表!$V$6:$V$353&lt;=89%)*危旧房屋改造项目分表!$AF$6:$AF$353),"")+SUMPRODUCT((危旧房屋改造项目分表!$B$6:$B$353=$I$3)*(危旧房屋改造项目分表!AG$6:$AG$353="否")*(危旧房屋改造项目分表!$O$6:$O$353="拆除补偿")*(危旧房屋改造项目分表!$V$6:$V$353&gt;=61%)*(危旧房屋改造项目分表!$V$6:$V$353&lt;=89%)*危旧房屋改造项目分表!$AF$6:$AF$353)</f>
        <v>0</v>
      </c>
      <c r="J59" s="130">
        <f>IFERROR(SUMPRODUCT((危旧房屋改造项目分表!$B$6:$B$353=$J$3)*(危旧房屋改造项目分表!AG$6:$AG$353="否")*(危旧房屋改造项目分表!$O$6:$O$353="棚改征收")*(危旧房屋改造项目分表!$V$6:$V$353&gt;=61%)*(危旧房屋改造项目分表!$V$6:$V$353&lt;=89%)*危旧房屋改造项目分表!$AF$6:$AF$353),"")+SUMPRODUCT((危旧房屋改造项目分表!$B$6:$B$353=$J$3)*(危旧房屋改造项目分表!AG$6:$AG$353="否")*(危旧房屋改造项目分表!$O$6:$O$353="拆除补偿")*(危旧房屋改造项目分表!$V$6:$V$353&gt;=61%)*(危旧房屋改造项目分表!$V$6:$V$353&lt;=89%)*危旧房屋改造项目分表!$AF$6:$AF$353)</f>
        <v>0</v>
      </c>
      <c r="K59" s="130">
        <f>IFERROR(SUMPRODUCT((危旧房屋改造项目分表!$B$6:$B$353=$K$3)*(危旧房屋改造项目分表!AG$6:$AG$353="否")*(危旧房屋改造项目分表!$O$6:$O$353="棚改征收")*(危旧房屋改造项目分表!$V$6:$V$353&gt;=61%)*(危旧房屋改造项目分表!$V$6:$V$353&lt;=89%)*危旧房屋改造项目分表!$AF$6:$AF$353),"")+SUMPRODUCT((危旧房屋改造项目分表!$B$6:$B$353=$K$3)*(危旧房屋改造项目分表!AG$6:$AG$353="否")*(危旧房屋改造项目分表!$O$6:$O$353="拆除补偿")*(危旧房屋改造项目分表!$V$6:$V$353&gt;=61%)*(危旧房屋改造项目分表!$V$6:$V$353&lt;=89%)*危旧房屋改造项目分表!$AF$6:$AF$353)</f>
        <v>0</v>
      </c>
      <c r="L59" s="130">
        <f>IFERROR(SUMPRODUCT((危旧房屋改造项目分表!$B$6:$B$353=$L$3)*(危旧房屋改造项目分表!AG$6:$AG$353="否")*(危旧房屋改造项目分表!$O$6:$O$353="棚改征收")*(危旧房屋改造项目分表!$V$6:$V$353&gt;=61%)*(危旧房屋改造项目分表!$V$6:$V$353&lt;=89%)*危旧房屋改造项目分表!$AF$6:$AF$353),"")+SUMPRODUCT((危旧房屋改造项目分表!$B$6:$B$353=$L$3)*(危旧房屋改造项目分表!AG$6:$AG$353="否")*(危旧房屋改造项目分表!$O$6:$O$353="拆除补偿")*(危旧房屋改造项目分表!$V$6:$V$353&gt;=61%)*(危旧房屋改造项目分表!$V$6:$V$353&lt;=89%)*危旧房屋改造项目分表!$AF$6:$AF$353)</f>
        <v>0</v>
      </c>
      <c r="M59" s="130">
        <f>IFERROR(SUMPRODUCT((危旧房屋改造项目分表!$AG$6:AH$353="是")*(危旧房屋改造项目分表!$O$6:$O$353="棚改征收")*(危旧房屋改造项目分表!$V$6:$V$353&gt;=61%)*(危旧房屋改造项目分表!$V$6:$V$353&lt;=89%)*危旧房屋改造项目分表!$AF$6:$AF$353),"")+SUMPRODUCT((危旧房屋改造项目分表!$AG$6:AH$353="是")*(危旧房屋改造项目分表!$O$6:$O$353="拆除补偿")*(危旧房屋改造项目分表!$V$6:$V$353&gt;=61%)*(危旧房屋改造项目分表!$V$6:$V$353&lt;=89%)*危旧房屋改造项目分表!$AF$6:$AF$353)</f>
        <v>0</v>
      </c>
      <c r="N59" s="130">
        <f>SUM($D$59:$M$59)</f>
        <v>0</v>
      </c>
      <c r="O59" s="149">
        <f>IF(ISERROR(N59/$N$65),"",N59/$N$65)</f>
        <v>0</v>
      </c>
    </row>
    <row r="60" ht="15.6" customHeight="1" spans="1:15">
      <c r="A60" s="145"/>
      <c r="B60" s="129"/>
      <c r="C60" s="129" t="s">
        <v>18</v>
      </c>
      <c r="D60" s="130">
        <f>IFERROR(SUMPRODUCT((危旧房屋改造项目分表!$B$6:$B$353=$D$3)*(危旧房屋改造项目分表!AG$6:$AG$353="否")*(危旧房屋改造项目分表!$O$6:$O$353="棚改征收")*(危旧房屋改造项目分表!$V$6:$V$353&gt;=61%)*(危旧房屋改造项目分表!$V$6:$V$353&lt;=89%)*危旧房屋改造项目分表!$K$6:$K$353),"")+SUMPRODUCT((危旧房屋改造项目分表!$B$6:$B$353=$D$3)*(危旧房屋改造项目分表!AG$6:$AG$353="否")*(危旧房屋改造项目分表!$O$6:$O$353="拆除补偿")*(危旧房屋改造项目分表!$V$6:$V$353&gt;=61%)*(危旧房屋改造项目分表!$V$6:$V$353&lt;=89%)*危旧房屋改造项目分表!$K$6:$K$353)</f>
        <v>0</v>
      </c>
      <c r="E60" s="130">
        <f>IFERROR(SUMPRODUCT((危旧房屋改造项目分表!$B$6:$B$353=$E$3)*(危旧房屋改造项目分表!AG$6:$AG$353="否")*(危旧房屋改造项目分表!$O$6:$O$353="棚改征收")*(危旧房屋改造项目分表!$V$6:$V$353&gt;=61%)*(危旧房屋改造项目分表!$V$6:$V$353&lt;=89%)*危旧房屋改造项目分表!$K$6:$K$353),"")+SUMPRODUCT((危旧房屋改造项目分表!$B$6:$B$353=$E$3)*(危旧房屋改造项目分表!AG$6:$AG$353="否")*(危旧房屋改造项目分表!$O$6:$O$353="拆除补偿")*(危旧房屋改造项目分表!$V$6:$V$353&gt;=61%)*(危旧房屋改造项目分表!$V$6:$V$353&lt;=89%)*危旧房屋改造项目分表!$K$6:$K$353)</f>
        <v>0</v>
      </c>
      <c r="F60" s="130">
        <f>IFERROR(SUMPRODUCT((危旧房屋改造项目分表!$B$6:$B$353=$F$3)*(危旧房屋改造项目分表!AG$6:$AG$353="否")*(危旧房屋改造项目分表!$O$6:$O$353="棚改征收")*(危旧房屋改造项目分表!$V$6:$V$353&gt;=61%)*(危旧房屋改造项目分表!$V$6:$V$353&lt;=89%)*危旧房屋改造项目分表!$K$6:$K$353),"")+SUMPRODUCT((危旧房屋改造项目分表!$B$6:$B$353=$F$3)*(危旧房屋改造项目分表!AG$6:$AG$353="否")*(危旧房屋改造项目分表!$O$6:$O$353="拆除补偿")*(危旧房屋改造项目分表!$V$6:$V$353&gt;=61%)*(危旧房屋改造项目分表!$V$6:$V$353&lt;=89%)*危旧房屋改造项目分表!$K$6:$K$353)</f>
        <v>0</v>
      </c>
      <c r="G60" s="130">
        <f>IFERROR(SUMPRODUCT((危旧房屋改造项目分表!$B$6:$B$353=$G$3)*(危旧房屋改造项目分表!AG$6:$AG$353="否")*(危旧房屋改造项目分表!$O$6:$O$353="棚改征收")*(危旧房屋改造项目分表!$V$6:$V$353&gt;=61%)*(危旧房屋改造项目分表!$V$6:$V$353&lt;=89%)*危旧房屋改造项目分表!$K$6:$K$353),"")+SUMPRODUCT((危旧房屋改造项目分表!$B$6:$B$353=$G$3)*(危旧房屋改造项目分表!AG$6:$AG$353="否")*(危旧房屋改造项目分表!$O$6:$O$353="拆除补偿")*(危旧房屋改造项目分表!$V$6:$V$353&gt;=61%)*(危旧房屋改造项目分表!$V$6:$V$353&lt;=89%)*危旧房屋改造项目分表!$K$6:$K$353)</f>
        <v>0</v>
      </c>
      <c r="H60" s="130">
        <f>IFERROR(SUMPRODUCT((危旧房屋改造项目分表!$B$6:$B$353=$H$3)*(危旧房屋改造项目分表!AG$6:$AG$353="否")*(危旧房屋改造项目分表!$O$6:$O$353="棚改征收")*(危旧房屋改造项目分表!$V$6:$V$353&gt;=61%)*(危旧房屋改造项目分表!$V$6:$V$353&lt;=89%)*危旧房屋改造项目分表!$K$6:$K$353),"")+SUMPRODUCT((危旧房屋改造项目分表!$B$6:$B$353=$H$3)*(危旧房屋改造项目分表!AG$6:$AG$353="否")*(危旧房屋改造项目分表!$O$6:$O$353="拆除补偿")*(危旧房屋改造项目分表!$V$6:$V$353&gt;=61%)*(危旧房屋改造项目分表!$V$6:$V$353&lt;=89%)*危旧房屋改造项目分表!$K$6:$K$353)</f>
        <v>0</v>
      </c>
      <c r="I60" s="130">
        <f>IFERROR(SUMPRODUCT((危旧房屋改造项目分表!$B$6:$B$353=$I$3)*(危旧房屋改造项目分表!AG$6:$AG$353="否")*(危旧房屋改造项目分表!$O$6:$O$353="棚改征收")*(危旧房屋改造项目分表!$V$6:$V$353&gt;=61%)*(危旧房屋改造项目分表!$V$6:$V$353&lt;=89%)*危旧房屋改造项目分表!$K$6:$K$353),"")+SUMPRODUCT((危旧房屋改造项目分表!$B$6:$B$353=$I$3)*(危旧房屋改造项目分表!AG$6:$AG$353="否")*(危旧房屋改造项目分表!$O$6:$O$353="拆除补偿")*(危旧房屋改造项目分表!$V$6:$V$353&gt;=61%)*(危旧房屋改造项目分表!$V$6:$V$353&lt;=89%)*危旧房屋改造项目分表!$K$6:$K$353)</f>
        <v>0</v>
      </c>
      <c r="J60" s="130">
        <f>IFERROR(SUMPRODUCT((危旧房屋改造项目分表!$B$6:$B$353=$J$3)*(危旧房屋改造项目分表!AG$6:$AG$353="否")*(危旧房屋改造项目分表!$O$6:$O$353="棚改征收")*(危旧房屋改造项目分表!$V$6:$V$353&gt;=61%)*(危旧房屋改造项目分表!$V$6:$V$353&lt;=89%)*危旧房屋改造项目分表!$K$6:$K$353),"")+SUMPRODUCT((危旧房屋改造项目分表!$B$6:$B$353=$J$3)*(危旧房屋改造项目分表!AG$6:$AG$353="否")*(危旧房屋改造项目分表!$O$6:$O$353="拆除补偿")*(危旧房屋改造项目分表!$V$6:$V$353&gt;=61%)*(危旧房屋改造项目分表!$V$6:$V$353&lt;=89%)*危旧房屋改造项目分表!$K$6:$K$353)</f>
        <v>0</v>
      </c>
      <c r="K60" s="130">
        <f>IFERROR(SUMPRODUCT((危旧房屋改造项目分表!$B$6:$B$353=$K$3)*(危旧房屋改造项目分表!AG$6:$AG$353="否")*(危旧房屋改造项目分表!$O$6:$O$353="棚改征收")*(危旧房屋改造项目分表!$V$6:$V$353&gt;=61%)*(危旧房屋改造项目分表!$V$6:$V$353&lt;=89%)*危旧房屋改造项目分表!$K$6:$K$353),"")+SUMPRODUCT((危旧房屋改造项目分表!$B$6:$B$353=$K$3)*(危旧房屋改造项目分表!AG$6:$AG$353="否")*(危旧房屋改造项目分表!$O$6:$O$353="拆除补偿")*(危旧房屋改造项目分表!$V$6:$V$353&gt;=61%)*(危旧房屋改造项目分表!$V$6:$V$353&lt;=89%)*危旧房屋改造项目分表!$K$6:$K$353)</f>
        <v>0</v>
      </c>
      <c r="L60" s="130">
        <f>IFERROR(SUMPRODUCT((危旧房屋改造项目分表!$B$6:$B$353=$L$3)*(危旧房屋改造项目分表!AG$6:$AG$353="否")*(危旧房屋改造项目分表!$O$6:$O$353="棚改征收")*(危旧房屋改造项目分表!$V$6:$V$353&gt;=61%)*(危旧房屋改造项目分表!$V$6:$V$353&lt;=89%)*危旧房屋改造项目分表!$K$6:$K$353),"")+SUMPRODUCT((危旧房屋改造项目分表!$B$6:$B$353=$L$3)*(危旧房屋改造项目分表!AG$6:$AG$353="否")*(危旧房屋改造项目分表!$O$6:$O$353="拆除补偿")*(危旧房屋改造项目分表!$V$6:$V$353&gt;=61%)*(危旧房屋改造项目分表!$V$6:$V$353&lt;=89%)*危旧房屋改造项目分表!$K$6:$K$353)</f>
        <v>0</v>
      </c>
      <c r="M60" s="130">
        <f>IFERROR(SUMPRODUCT((危旧房屋改造项目分表!$AG$6:AH$353="是")*(危旧房屋改造项目分表!$O$6:$O$353="棚改征收")*(危旧房屋改造项目分表!$V$6:$V$353&gt;=61%)*(危旧房屋改造项目分表!$V$6:$V$353&lt;=89%)*危旧房屋改造项目分表!$K$6:$K$353),"")+SUMPRODUCT((危旧房屋改造项目分表!$AG$6:AH$353="是")*(危旧房屋改造项目分表!$O$6:$O$353="拆除补偿")*(危旧房屋改造项目分表!$V$6:$V$353&gt;=61%)*(危旧房屋改造项目分表!$V$6:$V$353&lt;=89%)*危旧房屋改造项目分表!$K$6:$K$353)</f>
        <v>0</v>
      </c>
      <c r="N60" s="130">
        <f>SUM($D$60:$M$60)</f>
        <v>0</v>
      </c>
      <c r="O60" s="149">
        <f>IF(ISERROR(N60/$N$66),"",N60/$N$66)</f>
        <v>0</v>
      </c>
    </row>
    <row r="61" ht="15.6" customHeight="1" spans="1:15">
      <c r="A61" s="145"/>
      <c r="B61" s="129"/>
      <c r="C61" s="129" t="s">
        <v>19</v>
      </c>
      <c r="D61" s="130">
        <f>IFERROR(SUMPRODUCT((危旧房屋改造项目分表!$B$6:$B$353=$D$3)*(危旧房屋改造项目分表!AG$6:$AG$353="否")*(危旧房屋改造项目分表!$O$6:$O$353="棚改征收")*(危旧房屋改造项目分表!$V$6:$V$353&gt;=61%)*(危旧房屋改造项目分表!$V$6:$V$353&lt;=89%)*危旧房屋改造项目分表!$L$6:$L$353),"")+SUMPRODUCT((危旧房屋改造项目分表!$B$6:$B$353=$D$3)*(危旧房屋改造项目分表!AG$6:$AG$353="否")*(危旧房屋改造项目分表!$O$6:$O$353="拆除补偿")*(危旧房屋改造项目分表!$V$6:$V$353&gt;=61%)*(危旧房屋改造项目分表!$V$6:$V$353&lt;=89%)*危旧房屋改造项目分表!$L$6:$L$353)</f>
        <v>0</v>
      </c>
      <c r="E61" s="130">
        <f>IFERROR(SUMPRODUCT((危旧房屋改造项目分表!$B$6:$B$353=$E$3)*(危旧房屋改造项目分表!AG$6:$AG$353="否")*(危旧房屋改造项目分表!$O$6:$O$353="棚改征收")*(危旧房屋改造项目分表!$V$6:$V$353&gt;=61%)*(危旧房屋改造项目分表!$V$6:$V$353&lt;=89%)*危旧房屋改造项目分表!$L$6:$L$353),"")+SUMPRODUCT((危旧房屋改造项目分表!$B$6:$B$353=$E$3)*(危旧房屋改造项目分表!AG$6:$AG$353="否")*(危旧房屋改造项目分表!$O$6:$O$353="拆除补偿")*(危旧房屋改造项目分表!$V$6:$V$353&gt;=61%)*(危旧房屋改造项目分表!$V$6:$V$353&lt;=89%)*危旧房屋改造项目分表!$L$6:$L$353)</f>
        <v>0</v>
      </c>
      <c r="F61" s="130">
        <f>IFERROR(SUMPRODUCT((危旧房屋改造项目分表!$B$6:$B$353=$F$3)*(危旧房屋改造项目分表!AG$6:$AG$353="否")*(危旧房屋改造项目分表!$O$6:$O$353="棚改征收")*(危旧房屋改造项目分表!$V$6:$V$353&gt;=61%)*(危旧房屋改造项目分表!$V$6:$V$353&lt;=89%)*危旧房屋改造项目分表!$L$6:$L$353),"")+SUMPRODUCT((危旧房屋改造项目分表!$B$6:$B$353=$F$3)*(危旧房屋改造项目分表!AG$6:$AG$353="否")*(危旧房屋改造项目分表!$O$6:$O$353="拆除补偿")*(危旧房屋改造项目分表!$V$6:$V$353&gt;=61%)*(危旧房屋改造项目分表!$V$6:$V$353&lt;=89%)*危旧房屋改造项目分表!$L$6:$L$353)</f>
        <v>0</v>
      </c>
      <c r="G61" s="130">
        <f>IFERROR(SUMPRODUCT((危旧房屋改造项目分表!$B$6:$B$353=$G$3)*(危旧房屋改造项目分表!AG$6:$AG$353="否")*(危旧房屋改造项目分表!$O$6:$O$353="棚改征收")*(危旧房屋改造项目分表!$V$6:$V$353&gt;=61%)*(危旧房屋改造项目分表!$V$6:$V$353&lt;=89%)*危旧房屋改造项目分表!$L$6:$L$353),"")+SUMPRODUCT((危旧房屋改造项目分表!$B$6:$B$353=$G$3)*(危旧房屋改造项目分表!AG$6:$AG$353="否")*(危旧房屋改造项目分表!$O$6:$O$353="拆除补偿")*(危旧房屋改造项目分表!$V$6:$V$353&gt;=61%)*(危旧房屋改造项目分表!$V$6:$V$353&lt;=89%)*危旧房屋改造项目分表!$L$6:$L$353)</f>
        <v>0</v>
      </c>
      <c r="H61" s="130">
        <f>IFERROR(SUMPRODUCT((危旧房屋改造项目分表!$B$6:$B$353=$H$3)*(危旧房屋改造项目分表!AG$6:$AG$353="否")*(危旧房屋改造项目分表!$O$6:$O$353="棚改征收")*(危旧房屋改造项目分表!$V$6:$V$353&gt;=61%)*(危旧房屋改造项目分表!$V$6:$V$353&lt;=89%)*危旧房屋改造项目分表!$L$6:$L$353),"")+SUMPRODUCT((危旧房屋改造项目分表!$B$6:$B$353=$H$3)*(危旧房屋改造项目分表!AG$6:$AG$353="否")*(危旧房屋改造项目分表!$O$6:$O$353="拆除补偿")*(危旧房屋改造项目分表!$V$6:$V$353&gt;=61%)*(危旧房屋改造项目分表!$V$6:$V$353&lt;=89%)*危旧房屋改造项目分表!$L$6:$L$353)</f>
        <v>0</v>
      </c>
      <c r="I61" s="130">
        <f>IFERROR(SUMPRODUCT((危旧房屋改造项目分表!$B$6:$B$353=$I$3)*(危旧房屋改造项目分表!AG$6:$AG$353="否")*(危旧房屋改造项目分表!$O$6:$O$353="棚改征收")*(危旧房屋改造项目分表!$V$6:$V$353&gt;=61%)*(危旧房屋改造项目分表!$V$6:$V$353&lt;=89%)*危旧房屋改造项目分表!$L$6:$L$353),"")+SUMPRODUCT((危旧房屋改造项目分表!$B$6:$B$353=$I$3)*(危旧房屋改造项目分表!AG$6:$AG$353="否")*(危旧房屋改造项目分表!$O$6:$O$353="拆除补偿")*(危旧房屋改造项目分表!$V$6:$V$353&gt;=61%)*(危旧房屋改造项目分表!$V$6:$V$353&lt;=89%)*危旧房屋改造项目分表!$L$6:$L$353)</f>
        <v>0</v>
      </c>
      <c r="J61" s="130">
        <f>IFERROR(SUMPRODUCT((危旧房屋改造项目分表!$B$6:$B$353=$J$3)*(危旧房屋改造项目分表!AG$6:$AG$353="否")*(危旧房屋改造项目分表!$O$6:$O$353="棚改征收")*(危旧房屋改造项目分表!$V$6:$V$353&gt;=61%)*(危旧房屋改造项目分表!$V$6:$V$353&lt;=89%)*危旧房屋改造项目分表!$L$6:$L$353),"")+SUMPRODUCT((危旧房屋改造项目分表!$B$6:$B$353=$J$3)*(危旧房屋改造项目分表!AG$6:$AG$353="否")*(危旧房屋改造项目分表!$O$6:$O$353="拆除补偿")*(危旧房屋改造项目分表!$V$6:$V$353&gt;=61%)*(危旧房屋改造项目分表!$V$6:$V$353&lt;=89%)*危旧房屋改造项目分表!$L$6:$L$353)</f>
        <v>0</v>
      </c>
      <c r="K61" s="130">
        <f>IFERROR(SUMPRODUCT((危旧房屋改造项目分表!$B$6:$B$353=$K$3)*(危旧房屋改造项目分表!AG$6:$AG$353="否")*(危旧房屋改造项目分表!$O$6:$O$353="棚改征收")*(危旧房屋改造项目分表!$V$6:$V$353&gt;=61%)*(危旧房屋改造项目分表!$V$6:$V$353&lt;=89%)*危旧房屋改造项目分表!$L$6:$L$353),"")+SUMPRODUCT((危旧房屋改造项目分表!$B$6:$B$353=$K$3)*(危旧房屋改造项目分表!AG$6:$AG$353="否")*(危旧房屋改造项目分表!$O$6:$O$353="拆除补偿")*(危旧房屋改造项目分表!$V$6:$V$353&gt;=61%)*(危旧房屋改造项目分表!$V$6:$V$353&lt;=89%)*危旧房屋改造项目分表!$L$6:$L$353)</f>
        <v>0</v>
      </c>
      <c r="L61" s="130">
        <f>IFERROR(SUMPRODUCT((危旧房屋改造项目分表!$B$6:$B$353=$L$3)*(危旧房屋改造项目分表!AG$6:$AG$353="否")*(危旧房屋改造项目分表!$O$6:$O$353="棚改征收")*(危旧房屋改造项目分表!$V$6:$V$353&gt;=61%)*(危旧房屋改造项目分表!$V$6:$V$353&lt;=89%)*危旧房屋改造项目分表!$L$6:$L$353),"")+SUMPRODUCT((危旧房屋改造项目分表!$B$6:$B$353=$L$3)*(危旧房屋改造项目分表!AG$6:$AG$353="否")*(危旧房屋改造项目分表!$O$6:$O$353="拆除补偿")*(危旧房屋改造项目分表!$V$6:$V$353&gt;=61%)*(危旧房屋改造项目分表!$V$6:$V$353&lt;=89%)*危旧房屋改造项目分表!$L$6:$L$353)</f>
        <v>0</v>
      </c>
      <c r="M61" s="130">
        <f>IFERROR(SUMPRODUCT((危旧房屋改造项目分表!$AG$6:AH$353="是")*(危旧房屋改造项目分表!$O$6:$O$353="棚改征收")*(危旧房屋改造项目分表!$V$6:$V$353&gt;=61%)*(危旧房屋改造项目分表!$V$6:$V$353&lt;=89%)*危旧房屋改造项目分表!$L$6:$L$353),"")+SUMPRODUCT((危旧房屋改造项目分表!$AG$6:AH$353="是")*(危旧房屋改造项目分表!$O$6:$O$353="拆除补偿")*(危旧房屋改造项目分表!$V$6:$V$353&gt;=61%)*(危旧房屋改造项目分表!$V$6:$V$353&lt;=89%)*危旧房屋改造项目分表!$L$6:$L$353)</f>
        <v>0</v>
      </c>
      <c r="N61" s="130">
        <f>SUM($D$61:$M$61)</f>
        <v>0</v>
      </c>
      <c r="O61" s="149">
        <f>IF(ISERROR(N61/$N$67),"",N61/$N$67)</f>
        <v>0</v>
      </c>
    </row>
    <row r="62" ht="14.85" customHeight="1" spans="1:15">
      <c r="A62" s="145"/>
      <c r="B62" s="129" t="s">
        <v>32</v>
      </c>
      <c r="C62" s="129" t="s">
        <v>17</v>
      </c>
      <c r="D62" s="130">
        <f>IFERROR(SUMPRODUCT((危旧房屋改造项目分表!$B$6:$B$353=$D$3)*(危旧房屋改造项目分表!AG$6:$AG$353="否")*(危旧房屋改造项目分表!$O$6:$O$353="棚改征收")*(危旧房屋改造项目分表!$V$6:$V$353&gt;=90%)*危旧房屋改造项目分表!$AF$6:$AF$353),"")+SUMPRODUCT((危旧房屋改造项目分表!$B$6:$B$353=$D$3)*(危旧房屋改造项目分表!AG$6:$AG$353="否")*(危旧房屋改造项目分表!$O$6:$O$353="拆除补偿")*(危旧房屋改造项目分表!$V$6:$V$353&gt;=90%)*危旧房屋改造项目分表!$AF$6:$AF$353)</f>
        <v>0</v>
      </c>
      <c r="E62" s="130">
        <f>IFERROR(SUMPRODUCT((危旧房屋改造项目分表!$B$6:$B$353=$E$3)*(危旧房屋改造项目分表!AG$6:$AG$353="否")*(危旧房屋改造项目分表!$O$6:$O$353="棚改征收")*(危旧房屋改造项目分表!$V$6:$V$353&gt;=90%)*危旧房屋改造项目分表!$AF$6:$AF$353),"")+SUMPRODUCT((危旧房屋改造项目分表!$B$6:$B$353=$E$3)*(危旧房屋改造项目分表!AG$6:$AG$353="否")*(危旧房屋改造项目分表!$O$6:$O$353="拆除补偿")*(危旧房屋改造项目分表!$V$6:$V$353&gt;=90%)*危旧房屋改造项目分表!$AF$6:$AF$353)</f>
        <v>0</v>
      </c>
      <c r="F62" s="130">
        <f>IFERROR(SUMPRODUCT((危旧房屋改造项目分表!$B$6:$B$353=$F$3)*(危旧房屋改造项目分表!AG$6:$AG$353="否")*(危旧房屋改造项目分表!$O$6:$O$353="棚改征收")*(危旧房屋改造项目分表!$V$6:$V$353&gt;=90%)*危旧房屋改造项目分表!$AF$6:$AF$353),"")+SUMPRODUCT((危旧房屋改造项目分表!$B$6:$B$353=$F$3)*(危旧房屋改造项目分表!AG$6:$AG$353="否")*(危旧房屋改造项目分表!$O$6:$O$353="拆除补偿")*(危旧房屋改造项目分表!$V$6:$V$353&gt;=90%)*危旧房屋改造项目分表!$AF$6:$AF$353)</f>
        <v>0</v>
      </c>
      <c r="G62" s="130">
        <f>IFERROR(SUMPRODUCT((危旧房屋改造项目分表!$B$6:$B$353=$G$3)*(危旧房屋改造项目分表!AG$6:$AG$353="否")*(危旧房屋改造项目分表!$O$6:$O$353="棚改征收")*(危旧房屋改造项目分表!$V$6:$V$353&gt;=90%)*危旧房屋改造项目分表!$AF$6:$AF$353),"")+SUMPRODUCT((危旧房屋改造项目分表!$B$6:$B$353=$G$3)*(危旧房屋改造项目分表!AG$6:$AG$353="否")*(危旧房屋改造项目分表!$O$6:$O$353="拆除补偿")*(危旧房屋改造项目分表!$V$6:$V$353&gt;=90%)*危旧房屋改造项目分表!$AF$6:$AF$353)</f>
        <v>0</v>
      </c>
      <c r="H62" s="130">
        <f>IFERROR(SUMPRODUCT((危旧房屋改造项目分表!$B$6:$B$353=$H$3)*(危旧房屋改造项目分表!AG$6:$AG$353="否")*(危旧房屋改造项目分表!$O$6:$O$353="棚改征收")*(危旧房屋改造项目分表!$V$6:$V$353&gt;=90%)*危旧房屋改造项目分表!$AF$6:$AF$353),"")+SUMPRODUCT((危旧房屋改造项目分表!$B$6:$B$353=$H$3)*(危旧房屋改造项目分表!AG$6:$AG$353="否")*(危旧房屋改造项目分表!$O$6:$O$353="拆除补偿")*(危旧房屋改造项目分表!$V$6:$V$353&gt;=90%)*危旧房屋改造项目分表!$AF$6:$AF$353)</f>
        <v>0</v>
      </c>
      <c r="I62" s="130">
        <f>IFERROR(SUMPRODUCT((危旧房屋改造项目分表!$B$6:$B$353=$I$3)*(危旧房屋改造项目分表!AG$6:$AG$353="否")*(危旧房屋改造项目分表!$O$6:$O$353="棚改征收")*(危旧房屋改造项目分表!$V$6:$V$353&gt;=90%)*危旧房屋改造项目分表!$AF$6:$AF$353),"")+SUMPRODUCT((危旧房屋改造项目分表!$B$6:$B$353=$I$3)*(危旧房屋改造项目分表!AG$6:$AG$353="否")*(危旧房屋改造项目分表!$O$6:$O$353="拆除补偿")*(危旧房屋改造项目分表!$V$6:$V$353&gt;=90%)*危旧房屋改造项目分表!$AF$6:$AF$353)</f>
        <v>0</v>
      </c>
      <c r="J62" s="130">
        <f>IFERROR(SUMPRODUCT((危旧房屋改造项目分表!$B$6:$B$353=$J$3)*(危旧房屋改造项目分表!AG$6:$AG$353="否")*(危旧房屋改造项目分表!$O$6:$O$353="棚改征收")*(危旧房屋改造项目分表!$V$6:$V$353&gt;=90%)*危旧房屋改造项目分表!$AF$6:$AF$353),"")+SUMPRODUCT((危旧房屋改造项目分表!$B$6:$B$353=$J$3)*(危旧房屋改造项目分表!AG$6:$AG$353="否")*(危旧房屋改造项目分表!$O$6:$O$353="拆除补偿")*(危旧房屋改造项目分表!$V$6:$V$353&gt;=90%)*危旧房屋改造项目分表!$AF$6:$AF$353)</f>
        <v>0</v>
      </c>
      <c r="K62" s="130">
        <f>IFERROR(SUMPRODUCT((危旧房屋改造项目分表!$B$6:$B$353=$K$3)*(危旧房屋改造项目分表!AG$6:$AG$353="否")*(危旧房屋改造项目分表!$O$6:$O$353="棚改征收")*(危旧房屋改造项目分表!$V$6:$V$353&gt;=90%)*危旧房屋改造项目分表!$AF$6:$AF$353),"")+SUMPRODUCT((危旧房屋改造项目分表!$B$6:$B$353=$K$3)*(危旧房屋改造项目分表!AG$6:$AG$353="否")*(危旧房屋改造项目分表!$O$6:$O$353="拆除补偿")*(危旧房屋改造项目分表!$V$6:$V$353&gt;=90%)*危旧房屋改造项目分表!$AF$6:$AF$353)</f>
        <v>0</v>
      </c>
      <c r="L62" s="130">
        <f>IFERROR(SUMPRODUCT((危旧房屋改造项目分表!$B$6:$B$353=$L$3)*(危旧房屋改造项目分表!AG$6:$AG$353="否")*(危旧房屋改造项目分表!$O$6:$O$353="棚改征收")*(危旧房屋改造项目分表!$V$6:$V$353&gt;=90%)*危旧房屋改造项目分表!$AF$6:$AF$353),"")+SUMPRODUCT((危旧房屋改造项目分表!$B$6:$B$353=$L$3)*(危旧房屋改造项目分表!AG$6:$AG$353="否")*(危旧房屋改造项目分表!$O$6:$O$353="拆除补偿")*(危旧房屋改造项目分表!$V$6:$V$353&gt;=90%)*危旧房屋改造项目分表!$AF$6:$AF$353)</f>
        <v>0</v>
      </c>
      <c r="M62" s="130">
        <f>IFERROR(SUMPRODUCT((危旧房屋改造项目分表!$AG$6:AH$353="是")*(危旧房屋改造项目分表!$O$6:$O$353="棚改征收")*(危旧房屋改造项目分表!$V$6:$V$353&gt;=90%)*危旧房屋改造项目分表!$AF$6:$AF$353),"")+SUMPRODUCT((危旧房屋改造项目分表!$AG$6:AH$353="是")*(危旧房屋改造项目分表!$O$6:$O$353="拆除补偿")*(危旧房屋改造项目分表!$V$6:$V$353&gt;=90%)*危旧房屋改造项目分表!$AF$6:$AF$353)</f>
        <v>0</v>
      </c>
      <c r="N62" s="130">
        <f>SUM($D$62:$M$62)</f>
        <v>0</v>
      </c>
      <c r="O62" s="149">
        <f>IF(ISERROR(N62/$N$65),"",N62/$N$65)</f>
        <v>0</v>
      </c>
    </row>
    <row r="63" ht="14.85" customHeight="1" spans="1:15">
      <c r="A63" s="145"/>
      <c r="B63" s="129"/>
      <c r="C63" s="129" t="s">
        <v>18</v>
      </c>
      <c r="D63" s="130">
        <f>IFERROR(SUMPRODUCT((危旧房屋改造项目分表!$B$6:$B$353=$D$3)*(危旧房屋改造项目分表!AG$6:$AG$353="否")*(危旧房屋改造项目分表!$O$6:$O$353="棚改征收")*(危旧房屋改造项目分表!$V$6:$V$353&gt;=90%)*危旧房屋改造项目分表!$K$6:$K$353),"")+SUMPRODUCT((危旧房屋改造项目分表!$B$6:$B$353=$D$3)*(危旧房屋改造项目分表!AG$6:$AG$353="否")*(危旧房屋改造项目分表!$O$6:$O$353="拆除补偿")*(危旧房屋改造项目分表!$V$6:$V$353&gt;=90%)*危旧房屋改造项目分表!$K$6:$K$353)</f>
        <v>0</v>
      </c>
      <c r="E63" s="130">
        <f>IFERROR(SUMPRODUCT((危旧房屋改造项目分表!$B$6:$B$353=$E$3)*(危旧房屋改造项目分表!AG$6:$AG$353="否")*(危旧房屋改造项目分表!$O$6:$O$353="棚改征收")*(危旧房屋改造项目分表!$V$6:$V$353&gt;=90%)*危旧房屋改造项目分表!$K$6:$K$353),"")+SUMPRODUCT((危旧房屋改造项目分表!$B$6:$B$353=$E$3)*(危旧房屋改造项目分表!AG$6:$AG$353="否")*(危旧房屋改造项目分表!$O$6:$O$353="拆除补偿")*(危旧房屋改造项目分表!$V$6:$V$353&gt;=90%)*危旧房屋改造项目分表!$K$6:$K$353)</f>
        <v>0</v>
      </c>
      <c r="F63" s="130">
        <f>IFERROR(SUMPRODUCT((危旧房屋改造项目分表!$B$6:$B$353=$F$3)*(危旧房屋改造项目分表!AG$6:$AG$353="否")*(危旧房屋改造项目分表!$O$6:$O$353="棚改征收")*(危旧房屋改造项目分表!$V$6:$V$353&gt;=90%)*危旧房屋改造项目分表!$K$6:$K$353),"")+SUMPRODUCT((危旧房屋改造项目分表!$B$6:$B$353=$F$3)*(危旧房屋改造项目分表!AG$6:$AG$353="否")*(危旧房屋改造项目分表!$O$6:$O$353="拆除补偿")*(危旧房屋改造项目分表!$V$6:$V$353&gt;=90%)*危旧房屋改造项目分表!$K$6:$K$353)</f>
        <v>0</v>
      </c>
      <c r="G63" s="130">
        <f>IFERROR(SUMPRODUCT((危旧房屋改造项目分表!$B$6:$B$353=$G$3)*(危旧房屋改造项目分表!AG$6:$AG$353="否")*(危旧房屋改造项目分表!$O$6:$O$353="棚改征收")*(危旧房屋改造项目分表!$V$6:$V$353&gt;=90%)*危旧房屋改造项目分表!$K$6:$K$353),"")+SUMPRODUCT((危旧房屋改造项目分表!$B$6:$B$353=$G$3)*(危旧房屋改造项目分表!AG$6:$AG$353="否")*(危旧房屋改造项目分表!$O$6:$O$353="拆除补偿")*(危旧房屋改造项目分表!$V$6:$V$353&gt;=90%)*危旧房屋改造项目分表!$K$6:$K$353)</f>
        <v>0</v>
      </c>
      <c r="H63" s="130">
        <f>IFERROR(SUMPRODUCT((危旧房屋改造项目分表!$B$6:$B$353=$H$3)*(危旧房屋改造项目分表!AG$6:$AG$353="否")*(危旧房屋改造项目分表!$O$6:$O$353="棚改征收")*(危旧房屋改造项目分表!$V$6:$V$353&gt;=90%)*危旧房屋改造项目分表!$K$6:$K$353),"")+SUMPRODUCT((危旧房屋改造项目分表!$B$6:$B$353=$H$3)*(危旧房屋改造项目分表!AG$6:$AG$353="否")*(危旧房屋改造项目分表!$O$6:$O$353="拆除补偿")*(危旧房屋改造项目分表!$V$6:$V$353&gt;=90%)*危旧房屋改造项目分表!$K$6:$K$353)</f>
        <v>0</v>
      </c>
      <c r="I63" s="130">
        <f>IFERROR(SUMPRODUCT((危旧房屋改造项目分表!$B$6:$B$353=$I$3)*(危旧房屋改造项目分表!AG$6:$AG$353="否")*(危旧房屋改造项目分表!$O$6:$O$353="棚改征收")*(危旧房屋改造项目分表!$V$6:$V$353&gt;=90%)*危旧房屋改造项目分表!$K$6:$K$353),"")+SUMPRODUCT((危旧房屋改造项目分表!$B$6:$B$353=$I$3)*(危旧房屋改造项目分表!AG$6:$AG$353="否")*(危旧房屋改造项目分表!$O$6:$O$353="拆除补偿")*(危旧房屋改造项目分表!$V$6:$V$353&gt;=90%)*危旧房屋改造项目分表!$K$6:$K$353)</f>
        <v>0</v>
      </c>
      <c r="J63" s="130">
        <f>IFERROR(SUMPRODUCT((危旧房屋改造项目分表!$B$6:$B$353=$J$3)*(危旧房屋改造项目分表!AG$6:$AG$353="否")*(危旧房屋改造项目分表!$O$6:$O$353="棚改征收")*(危旧房屋改造项目分表!$V$6:$V$353&gt;=90%)*危旧房屋改造项目分表!$K$6:$K$353),"")+SUMPRODUCT((危旧房屋改造项目分表!$B$6:$B$353=$J$3)*(危旧房屋改造项目分表!AG$6:$AG$353="否")*(危旧房屋改造项目分表!$O$6:$O$353="拆除补偿")*(危旧房屋改造项目分表!$V$6:$V$353&gt;=90%)*危旧房屋改造项目分表!$K$6:$K$353)</f>
        <v>0</v>
      </c>
      <c r="K63" s="130">
        <f>IFERROR(SUMPRODUCT((危旧房屋改造项目分表!$B$6:$B$353=$K$3)*(危旧房屋改造项目分表!AG$6:$AG$353="否")*(危旧房屋改造项目分表!$O$6:$O$353="棚改征收")*(危旧房屋改造项目分表!$V$6:$V$353&gt;=90%)*危旧房屋改造项目分表!$K$6:$K$353),"")+SUMPRODUCT((危旧房屋改造项目分表!$B$6:$B$353=$K$3)*(危旧房屋改造项目分表!AG$6:$AG$353="否")*(危旧房屋改造项目分表!$O$6:$O$353="拆除补偿")*(危旧房屋改造项目分表!$V$6:$V$353&gt;=90%)*危旧房屋改造项目分表!$K$6:$K$353)</f>
        <v>0</v>
      </c>
      <c r="L63" s="130">
        <f>IFERROR(SUMPRODUCT((危旧房屋改造项目分表!$B$6:$B$353=$L$3)*(危旧房屋改造项目分表!AG$6:$AG$353="否")*(危旧房屋改造项目分表!$O$6:$O$353="棚改征收")*(危旧房屋改造项目分表!$V$6:$V$353&gt;=90%)*危旧房屋改造项目分表!$K$6:$K$353),"")+SUMPRODUCT((危旧房屋改造项目分表!$B$6:$B$353=$L$3)*(危旧房屋改造项目分表!AG$6:$AG$353="否")*(危旧房屋改造项目分表!$O$6:$O$353="拆除补偿")*(危旧房屋改造项目分表!$V$6:$V$353&gt;=90%)*危旧房屋改造项目分表!$K$6:$K$353)</f>
        <v>0</v>
      </c>
      <c r="M63" s="130">
        <f>IFERROR(SUMPRODUCT((危旧房屋改造项目分表!$AG$6:AH$353="是")*(危旧房屋改造项目分表!$O$6:$O$353="棚改征收")*(危旧房屋改造项目分表!$V$6:$V$353&gt;=90%)*危旧房屋改造项目分表!$K$6:$K$353),"")+SUMPRODUCT((危旧房屋改造项目分表!$AG$6:AH$353="是")*(危旧房屋改造项目分表!$O$6:$O$353="拆除补偿")*(危旧房屋改造项目分表!$V$6:$V$353&gt;=90%)*危旧房屋改造项目分表!$K$6:$K$353)</f>
        <v>0</v>
      </c>
      <c r="N63" s="130">
        <f>SUM($D$63:$M$63)</f>
        <v>0</v>
      </c>
      <c r="O63" s="149">
        <f>IF(ISERROR(N63/$N$66),"",N63/$N$66)</f>
        <v>0</v>
      </c>
    </row>
    <row r="64" ht="14.85" customHeight="1" spans="1:15">
      <c r="A64" s="145"/>
      <c r="B64" s="129"/>
      <c r="C64" s="129" t="s">
        <v>19</v>
      </c>
      <c r="D64" s="130">
        <f>IFERROR(SUMPRODUCT((危旧房屋改造项目分表!$B$6:$B$353=$D$3)*(危旧房屋改造项目分表!AG$6:$AG$353="否")*(危旧房屋改造项目分表!$O$6:$O$353="棚改征收")*(危旧房屋改造项目分表!$V$6:$V$353&gt;=90%)*危旧房屋改造项目分表!$L$6:$L$353),"")+SUMPRODUCT((危旧房屋改造项目分表!$B$6:$B$353=$D$3)*(危旧房屋改造项目分表!AG$6:$AG$353="否")*(危旧房屋改造项目分表!$O$6:$O$353="拆除补偿")*(危旧房屋改造项目分表!$V$6:$V$353&gt;=90%)*危旧房屋改造项目分表!$L$6:$L$353)</f>
        <v>0</v>
      </c>
      <c r="E64" s="130">
        <f>IFERROR(SUMPRODUCT((危旧房屋改造项目分表!$B$6:$B$353=$E$3)*(危旧房屋改造项目分表!AG$6:$AG$353="否")*(危旧房屋改造项目分表!$O$6:$O$353="棚改征收")*(危旧房屋改造项目分表!$V$6:$V$353&gt;=90%)*危旧房屋改造项目分表!$L$6:$L$353),"")+SUMPRODUCT((危旧房屋改造项目分表!$B$6:$B$353=$E$3)*(危旧房屋改造项目分表!AG$6:$AG$353="否")*(危旧房屋改造项目分表!$O$6:$O$353="拆除补偿")*(危旧房屋改造项目分表!$V$6:$V$353&gt;=90%)*危旧房屋改造项目分表!$L$6:$L$353)</f>
        <v>0</v>
      </c>
      <c r="F64" s="130">
        <f>IFERROR(SUMPRODUCT((危旧房屋改造项目分表!$B$6:$B$353=$F$3)*(危旧房屋改造项目分表!AG$6:$AG$353="否")*(危旧房屋改造项目分表!$O$6:$O$353="棚改征收")*(危旧房屋改造项目分表!$V$6:$V$353&gt;=90%)*危旧房屋改造项目分表!$L$6:$L$353),"")+SUMPRODUCT((危旧房屋改造项目分表!$B$6:$B$353=$F$3)*(危旧房屋改造项目分表!AG$6:$AG$353="否")*(危旧房屋改造项目分表!$O$6:$O$353="拆除补偿")*(危旧房屋改造项目分表!$V$6:$V$353&gt;=90%)*危旧房屋改造项目分表!$L$6:$L$353)</f>
        <v>0</v>
      </c>
      <c r="G64" s="130">
        <f>IFERROR(SUMPRODUCT((危旧房屋改造项目分表!$B$6:$B$353=$G$3)*(危旧房屋改造项目分表!AG$6:$AG$353="否")*(危旧房屋改造项目分表!$O$6:$O$353="棚改征收")*(危旧房屋改造项目分表!$V$6:$V$353&gt;=90%)*危旧房屋改造项目分表!$L$6:$L$353),"")+SUMPRODUCT((危旧房屋改造项目分表!$B$6:$B$353=$G$3)*(危旧房屋改造项目分表!AG$6:$AG$353="否")*(危旧房屋改造项目分表!$O$6:$O$353="拆除补偿")*(危旧房屋改造项目分表!$V$6:$V$353&gt;=90%)*危旧房屋改造项目分表!$L$6:$L$353)</f>
        <v>0</v>
      </c>
      <c r="H64" s="130">
        <f>IFERROR(SUMPRODUCT((危旧房屋改造项目分表!$B$6:$B$353=$H$3)*(危旧房屋改造项目分表!AG$6:$AG$353="否")*(危旧房屋改造项目分表!$O$6:$O$353="棚改征收")*(危旧房屋改造项目分表!$V$6:$V$353&gt;=90%)*危旧房屋改造项目分表!$L$6:$L$353),"")+SUMPRODUCT((危旧房屋改造项目分表!$B$6:$B$353=$H$3)*(危旧房屋改造项目分表!AG$6:$AG$353="否")*(危旧房屋改造项目分表!$O$6:$O$353="拆除补偿")*(危旧房屋改造项目分表!$V$6:$V$353&gt;=90%)*危旧房屋改造项目分表!$L$6:$L$353)</f>
        <v>0</v>
      </c>
      <c r="I64" s="130">
        <f>IFERROR(SUMPRODUCT((危旧房屋改造项目分表!$B$6:$B$353=$I$3)*(危旧房屋改造项目分表!AG$6:$AG$353="否")*(危旧房屋改造项目分表!$O$6:$O$353="棚改征收")*(危旧房屋改造项目分表!$V$6:$V$353&gt;=90%)*危旧房屋改造项目分表!$L$6:$L$353),"")+SUMPRODUCT((危旧房屋改造项目分表!$B$6:$B$353=$I$3)*(危旧房屋改造项目分表!AG$6:$AG$353="否")*(危旧房屋改造项目分表!$O$6:$O$353="拆除补偿")*(危旧房屋改造项目分表!$V$6:$V$353&gt;=90%)*危旧房屋改造项目分表!$L$6:$L$353)</f>
        <v>0</v>
      </c>
      <c r="J64" s="130">
        <f>IFERROR(SUMPRODUCT((危旧房屋改造项目分表!$B$6:$B$353=$J$3)*(危旧房屋改造项目分表!AG$6:$AG$353="否")*(危旧房屋改造项目分表!$O$6:$O$353="棚改征收")*(危旧房屋改造项目分表!$V$6:$V$353&gt;=90%)*危旧房屋改造项目分表!$L$6:$L$353),"")+SUMPRODUCT((危旧房屋改造项目分表!$B$6:$B$353=$J$3)*(危旧房屋改造项目分表!AG$6:$AG$353="否")*(危旧房屋改造项目分表!$O$6:$O$353="拆除补偿")*(危旧房屋改造项目分表!$V$6:$V$353&gt;=90%)*危旧房屋改造项目分表!$L$6:$L$353)</f>
        <v>0</v>
      </c>
      <c r="K64" s="130">
        <f>IFERROR(SUMPRODUCT((危旧房屋改造项目分表!$B$6:$B$353=$K$3)*(危旧房屋改造项目分表!AG$6:$AG$353="否")*(危旧房屋改造项目分表!$O$6:$O$353="棚改征收")*(危旧房屋改造项目分表!$V$6:$V$353&gt;=90%)*危旧房屋改造项目分表!$L$6:$L$353),"")+SUMPRODUCT((危旧房屋改造项目分表!$B$6:$B$353=$K$3)*(危旧房屋改造项目分表!AG$6:$AG$353="否")*(危旧房屋改造项目分表!$O$6:$O$353="拆除补偿")*(危旧房屋改造项目分表!$V$6:$V$353&gt;=90%)*危旧房屋改造项目分表!$L$6:$L$353)</f>
        <v>0</v>
      </c>
      <c r="L64" s="130">
        <f>IFERROR(SUMPRODUCT((危旧房屋改造项目分表!$B$6:$B$353=$L$3)*(危旧房屋改造项目分表!AG$6:$AG$353="否")*(危旧房屋改造项目分表!$O$6:$O$353="棚改征收")*(危旧房屋改造项目分表!$V$6:$V$353&gt;=90%)*危旧房屋改造项目分表!$L$6:$L$353),"")+SUMPRODUCT((危旧房屋改造项目分表!$B$6:$B$353=$L$3)*(危旧房屋改造项目分表!AG$6:$AG$353="否")*(危旧房屋改造项目分表!$O$6:$O$353="拆除补偿")*(危旧房屋改造项目分表!$V$6:$V$353&gt;=90%)*危旧房屋改造项目分表!$L$6:$L$353)</f>
        <v>0</v>
      </c>
      <c r="M64" s="130">
        <f>IFERROR(SUMPRODUCT((危旧房屋改造项目分表!$AG$6:AH$353="是")*(危旧房屋改造项目分表!$O$6:$O$353="棚改征收")*(危旧房屋改造项目分表!$V$6:$V$353&gt;=90%)*危旧房屋改造项目分表!$L$6:$L$353),"")+SUMPRODUCT((危旧房屋改造项目分表!$AG$6:AH$353="是")*(危旧房屋改造项目分表!$O$6:$O$353="拆除补偿")*(危旧房屋改造项目分表!$V$6:$V$353&gt;=90%)*危旧房屋改造项目分表!$L$6:$L$353)</f>
        <v>0</v>
      </c>
      <c r="N64" s="130">
        <f>SUM($D$64:$M$64)</f>
        <v>0</v>
      </c>
      <c r="O64" s="149">
        <f>IF(ISERROR(N64/$N$67),"",N64/$N$67)</f>
        <v>0</v>
      </c>
    </row>
    <row r="65" ht="14.85" customHeight="1" spans="1:15">
      <c r="A65" s="145"/>
      <c r="B65" s="129" t="s">
        <v>26</v>
      </c>
      <c r="C65" s="129" t="s">
        <v>17</v>
      </c>
      <c r="D65" s="141">
        <f t="shared" ref="D65:M65" si="9">D56+D59+D62+D53</f>
        <v>0</v>
      </c>
      <c r="E65" s="141">
        <f t="shared" si="9"/>
        <v>21</v>
      </c>
      <c r="F65" s="141">
        <f t="shared" si="9"/>
        <v>0</v>
      </c>
      <c r="G65" s="141">
        <f t="shared" si="9"/>
        <v>0</v>
      </c>
      <c r="H65" s="141">
        <f t="shared" si="9"/>
        <v>18</v>
      </c>
      <c r="I65" s="141">
        <f t="shared" si="9"/>
        <v>0</v>
      </c>
      <c r="J65" s="141">
        <f t="shared" si="9"/>
        <v>0</v>
      </c>
      <c r="K65" s="141">
        <f t="shared" si="9"/>
        <v>0</v>
      </c>
      <c r="L65" s="141">
        <f t="shared" si="9"/>
        <v>0</v>
      </c>
      <c r="M65" s="141">
        <f t="shared" si="9"/>
        <v>21</v>
      </c>
      <c r="N65" s="130">
        <f>SUM($D$65:$M$65)</f>
        <v>60</v>
      </c>
      <c r="O65" s="149">
        <f>IF(ISERROR(N65/$N$4),"",N65/$N$4)</f>
        <v>0.172413793103448</v>
      </c>
    </row>
    <row r="66" ht="14.85" customHeight="1" spans="1:15">
      <c r="A66" s="145"/>
      <c r="B66" s="129"/>
      <c r="C66" s="129" t="s">
        <v>18</v>
      </c>
      <c r="D66" s="141">
        <f t="shared" ref="D66:M66" si="10">D57+D60+D63+D54</f>
        <v>0</v>
      </c>
      <c r="E66" s="141">
        <f t="shared" si="10"/>
        <v>587</v>
      </c>
      <c r="F66" s="141">
        <f t="shared" si="10"/>
        <v>0</v>
      </c>
      <c r="G66" s="141">
        <f t="shared" si="10"/>
        <v>0</v>
      </c>
      <c r="H66" s="141">
        <f t="shared" si="10"/>
        <v>595</v>
      </c>
      <c r="I66" s="141">
        <f t="shared" si="10"/>
        <v>0</v>
      </c>
      <c r="J66" s="141">
        <f t="shared" si="10"/>
        <v>0</v>
      </c>
      <c r="K66" s="141">
        <f t="shared" si="10"/>
        <v>0</v>
      </c>
      <c r="L66" s="141">
        <f t="shared" si="10"/>
        <v>0</v>
      </c>
      <c r="M66" s="141">
        <f t="shared" si="10"/>
        <v>103</v>
      </c>
      <c r="N66" s="130">
        <f>SUM($D$66:$M$66)</f>
        <v>1285</v>
      </c>
      <c r="O66" s="149">
        <f>IF(ISERROR(N66/$N$5),"",N66/$N$5)</f>
        <v>0.355758582502769</v>
      </c>
    </row>
    <row r="67" ht="14.85" customHeight="1" spans="1:15">
      <c r="A67" s="150"/>
      <c r="B67" s="129"/>
      <c r="C67" s="129" t="s">
        <v>19</v>
      </c>
      <c r="D67" s="143">
        <f t="shared" ref="D67:M67" si="11">D58+D61+D64+D55</f>
        <v>0</v>
      </c>
      <c r="E67" s="143">
        <f t="shared" si="11"/>
        <v>24219.77</v>
      </c>
      <c r="F67" s="143">
        <f t="shared" si="11"/>
        <v>0</v>
      </c>
      <c r="G67" s="143">
        <f t="shared" si="11"/>
        <v>0</v>
      </c>
      <c r="H67" s="143">
        <f t="shared" si="11"/>
        <v>22057.04</v>
      </c>
      <c r="I67" s="143">
        <f t="shared" si="11"/>
        <v>0</v>
      </c>
      <c r="J67" s="143">
        <f t="shared" si="11"/>
        <v>0</v>
      </c>
      <c r="K67" s="143">
        <f t="shared" si="11"/>
        <v>0</v>
      </c>
      <c r="L67" s="143">
        <f t="shared" si="11"/>
        <v>0</v>
      </c>
      <c r="M67" s="143">
        <f t="shared" si="11"/>
        <v>5708.7</v>
      </c>
      <c r="N67" s="130">
        <f>SUM(D67:M67)</f>
        <v>51985.51</v>
      </c>
      <c r="O67" s="149">
        <f>IF(ISERROR(N67/$N$6),"",N67/$N$6)</f>
        <v>0.296455170013961</v>
      </c>
    </row>
    <row r="68" ht="14.85" customHeight="1" spans="1:15">
      <c r="A68" s="151" t="s">
        <v>33</v>
      </c>
      <c r="B68" s="136"/>
      <c r="C68" s="140" t="s">
        <v>17</v>
      </c>
      <c r="D68" s="130">
        <f t="shared" ref="D68:M68" si="12">D41+D26+D11+D56</f>
        <v>0</v>
      </c>
      <c r="E68" s="130">
        <f t="shared" si="12"/>
        <v>0</v>
      </c>
      <c r="F68" s="130">
        <f t="shared" si="12"/>
        <v>0</v>
      </c>
      <c r="G68" s="130">
        <f t="shared" si="12"/>
        <v>0</v>
      </c>
      <c r="H68" s="130">
        <f t="shared" si="12"/>
        <v>0</v>
      </c>
      <c r="I68" s="130">
        <f t="shared" si="12"/>
        <v>0</v>
      </c>
      <c r="J68" s="130">
        <f t="shared" si="12"/>
        <v>0</v>
      </c>
      <c r="K68" s="130">
        <f t="shared" si="12"/>
        <v>0</v>
      </c>
      <c r="L68" s="130">
        <f t="shared" si="12"/>
        <v>0</v>
      </c>
      <c r="M68" s="130">
        <f t="shared" si="12"/>
        <v>21</v>
      </c>
      <c r="N68" s="130">
        <f t="shared" ref="N68:N81" si="13">SUM(D68:M68)</f>
        <v>21</v>
      </c>
      <c r="O68" s="149">
        <f t="shared" ref="O68:O70" si="14">IF(ISERROR(N68/N4),"",N68/N4)</f>
        <v>0.0603448275862069</v>
      </c>
    </row>
    <row r="69" ht="14.85" customHeight="1" spans="1:15">
      <c r="A69" s="152"/>
      <c r="B69" s="138"/>
      <c r="C69" s="140" t="s">
        <v>18</v>
      </c>
      <c r="D69" s="130">
        <f t="shared" ref="D69:M69" si="15">D42+D27+D12+D57</f>
        <v>0</v>
      </c>
      <c r="E69" s="130">
        <f t="shared" si="15"/>
        <v>0</v>
      </c>
      <c r="F69" s="130">
        <f t="shared" si="15"/>
        <v>0</v>
      </c>
      <c r="G69" s="130">
        <f t="shared" si="15"/>
        <v>0</v>
      </c>
      <c r="H69" s="130">
        <f t="shared" si="15"/>
        <v>0</v>
      </c>
      <c r="I69" s="130">
        <f t="shared" si="15"/>
        <v>0</v>
      </c>
      <c r="J69" s="130">
        <f t="shared" si="15"/>
        <v>0</v>
      </c>
      <c r="K69" s="130">
        <f t="shared" si="15"/>
        <v>0</v>
      </c>
      <c r="L69" s="130">
        <f t="shared" si="15"/>
        <v>0</v>
      </c>
      <c r="M69" s="130">
        <f t="shared" si="15"/>
        <v>76</v>
      </c>
      <c r="N69" s="130">
        <f t="shared" si="13"/>
        <v>76</v>
      </c>
      <c r="O69" s="149">
        <f t="shared" si="14"/>
        <v>0.0210409745293466</v>
      </c>
    </row>
    <row r="70" ht="14.85" customHeight="1" spans="1:15">
      <c r="A70" s="153"/>
      <c r="B70" s="139"/>
      <c r="C70" s="140" t="s">
        <v>19</v>
      </c>
      <c r="D70" s="130">
        <f t="shared" ref="D70:M70" si="16">D43+D28+D13+D58</f>
        <v>0</v>
      </c>
      <c r="E70" s="130">
        <f t="shared" si="16"/>
        <v>0</v>
      </c>
      <c r="F70" s="130">
        <f t="shared" si="16"/>
        <v>0</v>
      </c>
      <c r="G70" s="130">
        <f t="shared" si="16"/>
        <v>0</v>
      </c>
      <c r="H70" s="130">
        <f t="shared" si="16"/>
        <v>0</v>
      </c>
      <c r="I70" s="130">
        <f t="shared" si="16"/>
        <v>0</v>
      </c>
      <c r="J70" s="130">
        <f t="shared" si="16"/>
        <v>0</v>
      </c>
      <c r="K70" s="130">
        <f t="shared" si="16"/>
        <v>0</v>
      </c>
      <c r="L70" s="130">
        <f t="shared" si="16"/>
        <v>0</v>
      </c>
      <c r="M70" s="130">
        <f t="shared" si="16"/>
        <v>3567.72</v>
      </c>
      <c r="N70" s="130">
        <f t="shared" si="13"/>
        <v>3567.72</v>
      </c>
      <c r="O70" s="149">
        <f t="shared" si="14"/>
        <v>0.0203454585549359</v>
      </c>
    </row>
    <row r="71" ht="14.85" customHeight="1" spans="1:15">
      <c r="A71" s="144" t="s">
        <v>34</v>
      </c>
      <c r="B71" s="129" t="s">
        <v>35</v>
      </c>
      <c r="C71" s="140" t="s">
        <v>17</v>
      </c>
      <c r="D71" s="130">
        <f t="shared" ref="D71:M71" si="17">D14+D29+D59+D56+D44</f>
        <v>0</v>
      </c>
      <c r="E71" s="130">
        <f t="shared" si="17"/>
        <v>0</v>
      </c>
      <c r="F71" s="130">
        <f t="shared" si="17"/>
        <v>0</v>
      </c>
      <c r="G71" s="130">
        <f t="shared" si="17"/>
        <v>0</v>
      </c>
      <c r="H71" s="130">
        <f t="shared" si="17"/>
        <v>0</v>
      </c>
      <c r="I71" s="130">
        <f t="shared" si="17"/>
        <v>0</v>
      </c>
      <c r="J71" s="130">
        <f t="shared" si="17"/>
        <v>0</v>
      </c>
      <c r="K71" s="130">
        <f t="shared" si="17"/>
        <v>0</v>
      </c>
      <c r="L71" s="130">
        <f t="shared" si="17"/>
        <v>0</v>
      </c>
      <c r="M71" s="130">
        <f t="shared" si="17"/>
        <v>4</v>
      </c>
      <c r="N71" s="130">
        <f t="shared" si="13"/>
        <v>4</v>
      </c>
      <c r="O71" s="149">
        <f>IF(ISERROR(N71/$N$4),"",N71/$N$4)</f>
        <v>0.0114942528735632</v>
      </c>
    </row>
    <row r="72" ht="14.85" customHeight="1" spans="1:15">
      <c r="A72" s="145"/>
      <c r="B72" s="129"/>
      <c r="C72" s="140" t="s">
        <v>18</v>
      </c>
      <c r="D72" s="130">
        <f t="shared" ref="D72:M72" si="18">D15+D30+D60+D57+D45</f>
        <v>0</v>
      </c>
      <c r="E72" s="130">
        <f t="shared" si="18"/>
        <v>0</v>
      </c>
      <c r="F72" s="130">
        <f t="shared" si="18"/>
        <v>0</v>
      </c>
      <c r="G72" s="130">
        <f t="shared" si="18"/>
        <v>0</v>
      </c>
      <c r="H72" s="130">
        <f t="shared" si="18"/>
        <v>0</v>
      </c>
      <c r="I72" s="130">
        <f t="shared" si="18"/>
        <v>0</v>
      </c>
      <c r="J72" s="130">
        <f t="shared" si="18"/>
        <v>0</v>
      </c>
      <c r="K72" s="130">
        <f t="shared" si="18"/>
        <v>0</v>
      </c>
      <c r="L72" s="130">
        <f t="shared" si="18"/>
        <v>0</v>
      </c>
      <c r="M72" s="130">
        <f t="shared" si="18"/>
        <v>14</v>
      </c>
      <c r="N72" s="130">
        <f t="shared" si="13"/>
        <v>14</v>
      </c>
      <c r="O72" s="149">
        <f>IF(ISERROR(N72/$N$5),"",N72/$N$5)</f>
        <v>0.00387596899224806</v>
      </c>
    </row>
    <row r="73" ht="14.85" customHeight="1" spans="1:15">
      <c r="A73" s="145"/>
      <c r="B73" s="129"/>
      <c r="C73" s="140" t="s">
        <v>19</v>
      </c>
      <c r="D73" s="130">
        <f t="shared" ref="D73:M73" si="19">D16+D31+D61+D58+D46</f>
        <v>0</v>
      </c>
      <c r="E73" s="130">
        <f t="shared" si="19"/>
        <v>0</v>
      </c>
      <c r="F73" s="130">
        <f t="shared" si="19"/>
        <v>0</v>
      </c>
      <c r="G73" s="130">
        <f t="shared" si="19"/>
        <v>0</v>
      </c>
      <c r="H73" s="130">
        <f t="shared" si="19"/>
        <v>0</v>
      </c>
      <c r="I73" s="130">
        <f t="shared" si="19"/>
        <v>0</v>
      </c>
      <c r="J73" s="130">
        <f t="shared" si="19"/>
        <v>0</v>
      </c>
      <c r="K73" s="130">
        <f t="shared" si="19"/>
        <v>0</v>
      </c>
      <c r="L73" s="130">
        <f t="shared" si="19"/>
        <v>0</v>
      </c>
      <c r="M73" s="130">
        <f t="shared" si="19"/>
        <v>384.5</v>
      </c>
      <c r="N73" s="130">
        <f t="shared" si="13"/>
        <v>384.5</v>
      </c>
      <c r="O73" s="149">
        <f>IF(ISERROR(N73/$N$6),"",N73/$N$6)</f>
        <v>0.00219266893544697</v>
      </c>
    </row>
    <row r="74" ht="14.85" customHeight="1" spans="1:15">
      <c r="A74" s="145"/>
      <c r="B74" s="154" t="s">
        <v>36</v>
      </c>
      <c r="C74" s="140" t="s">
        <v>17</v>
      </c>
      <c r="D74" s="130">
        <f t="shared" ref="D74:M74" si="20">D17+D32+D62+D47</f>
        <v>0</v>
      </c>
      <c r="E74" s="130">
        <f t="shared" si="20"/>
        <v>0</v>
      </c>
      <c r="F74" s="130">
        <f t="shared" si="20"/>
        <v>0</v>
      </c>
      <c r="G74" s="130">
        <f t="shared" si="20"/>
        <v>0</v>
      </c>
      <c r="H74" s="130">
        <f t="shared" si="20"/>
        <v>0</v>
      </c>
      <c r="I74" s="130">
        <f t="shared" si="20"/>
        <v>0</v>
      </c>
      <c r="J74" s="130">
        <f t="shared" si="20"/>
        <v>0</v>
      </c>
      <c r="K74" s="130">
        <f t="shared" si="20"/>
        <v>0</v>
      </c>
      <c r="L74" s="130">
        <f t="shared" si="20"/>
        <v>0</v>
      </c>
      <c r="M74" s="130">
        <f t="shared" si="20"/>
        <v>13</v>
      </c>
      <c r="N74" s="130">
        <f t="shared" si="13"/>
        <v>13</v>
      </c>
      <c r="O74" s="149">
        <f>IF(ISERROR(N74/$N$4),"",N74/$N$4)</f>
        <v>0.0373563218390805</v>
      </c>
    </row>
    <row r="75" ht="14.85" customHeight="1" spans="1:15">
      <c r="A75" s="145"/>
      <c r="B75" s="155"/>
      <c r="C75" s="140" t="s">
        <v>18</v>
      </c>
      <c r="D75" s="130">
        <f t="shared" ref="D75:M75" si="21">D18+D33+D63+D48</f>
        <v>0</v>
      </c>
      <c r="E75" s="130">
        <f t="shared" si="21"/>
        <v>0</v>
      </c>
      <c r="F75" s="130">
        <f t="shared" si="21"/>
        <v>0</v>
      </c>
      <c r="G75" s="130">
        <f t="shared" si="21"/>
        <v>0</v>
      </c>
      <c r="H75" s="130">
        <f t="shared" si="21"/>
        <v>0</v>
      </c>
      <c r="I75" s="130">
        <f t="shared" si="21"/>
        <v>0</v>
      </c>
      <c r="J75" s="130">
        <f t="shared" si="21"/>
        <v>0</v>
      </c>
      <c r="K75" s="130">
        <f t="shared" si="21"/>
        <v>0</v>
      </c>
      <c r="L75" s="130">
        <f t="shared" si="21"/>
        <v>0</v>
      </c>
      <c r="M75" s="130">
        <f t="shared" si="21"/>
        <v>17</v>
      </c>
      <c r="N75" s="130">
        <f t="shared" si="13"/>
        <v>17</v>
      </c>
      <c r="O75" s="149">
        <f>IF(ISERROR(N75/$N$5),"",N75/$N$5)</f>
        <v>0.00470653377630122</v>
      </c>
    </row>
    <row r="76" ht="14.85" customHeight="1" spans="1:15">
      <c r="A76" s="145"/>
      <c r="B76" s="155"/>
      <c r="C76" s="140" t="s">
        <v>19</v>
      </c>
      <c r="D76" s="130">
        <f t="shared" ref="D76:M76" si="22">D19+D34+D64+D49</f>
        <v>0</v>
      </c>
      <c r="E76" s="130">
        <f t="shared" si="22"/>
        <v>0</v>
      </c>
      <c r="F76" s="130">
        <f t="shared" si="22"/>
        <v>0</v>
      </c>
      <c r="G76" s="130">
        <f t="shared" si="22"/>
        <v>0</v>
      </c>
      <c r="H76" s="130">
        <f t="shared" si="22"/>
        <v>0</v>
      </c>
      <c r="I76" s="143">
        <f t="shared" si="22"/>
        <v>0</v>
      </c>
      <c r="J76" s="130">
        <f t="shared" si="22"/>
        <v>0</v>
      </c>
      <c r="K76" s="143">
        <f t="shared" si="22"/>
        <v>0</v>
      </c>
      <c r="L76" s="130">
        <f t="shared" si="22"/>
        <v>0</v>
      </c>
      <c r="M76" s="130">
        <f t="shared" si="22"/>
        <v>1018.2</v>
      </c>
      <c r="N76" s="130">
        <f t="shared" si="13"/>
        <v>1018.2</v>
      </c>
      <c r="O76" s="149">
        <f>IF(ISERROR(N76/$N$6),"",N76/$N$6)</f>
        <v>0.00580643825766478</v>
      </c>
    </row>
    <row r="77" ht="14.85" customHeight="1" spans="1:15">
      <c r="A77" s="145"/>
      <c r="B77" s="156"/>
      <c r="C77" s="140" t="s">
        <v>37</v>
      </c>
      <c r="D77" s="143">
        <f>SUMIFS(危旧房屋改造项目分表!$AC$6:$AC$353,危旧房屋改造项目分表!$B$6:$B$353,"芙蓉区",危旧房屋改造项目分表!$AG$6:$AG$353,"否",危旧房屋改造项目分表!$V$6:$V$353,"&gt;=90%")+SUMIFS(危旧房屋改造项目分表!$AC$6:$AC$353,危旧房屋改造项目分表!$B$6:$B$353,"芙蓉区",危旧房屋改造项目分表!$AG$6:$AG$353,"否",危旧房屋改造项目分表!$AB$6:$AB$353,"&gt;=90%")</f>
        <v>0</v>
      </c>
      <c r="E77" s="143">
        <f>SUMIFS(危旧房屋改造项目分表!$AC$6:$AC$353,危旧房屋改造项目分表!$B$6:$B$353,"天心区",危旧房屋改造项目分表!$AG$6:$AG$353,"否",危旧房屋改造项目分表!$V$6:$V$353,"&gt;=90%")+SUMIFS(危旧房屋改造项目分表!$AC$6:$AC$353,危旧房屋改造项目分表!$B$6:$B$353,"天心区",危旧房屋改造项目分表!$AG$6:$AG$353,"否",危旧房屋改造项目分表!$AB$6:$AB$353,"&gt;=90%")</f>
        <v>0</v>
      </c>
      <c r="F77" s="143">
        <f>SUMIFS(危旧房屋改造项目分表!$AC$6:$AC$353,危旧房屋改造项目分表!$B$6:$B$353,"岳麓区",危旧房屋改造项目分表!$AG$6:$AG$353,"否",危旧房屋改造项目分表!$V$6:$V$353,"&gt;=90%")+SUMIFS(危旧房屋改造项目分表!$AC$6:$AC$353,危旧房屋改造项目分表!$B$6:$B$353,"岳麓区",危旧房屋改造项目分表!$AG$6:$AG$353,"否",危旧房屋改造项目分表!$AB$6:$AB$353,"&gt;=90%")</f>
        <v>0</v>
      </c>
      <c r="G77" s="143">
        <f>SUMIFS(危旧房屋改造项目分表!$AC$6:$AC$353,危旧房屋改造项目分表!$B$6:$B$353,"开福区",危旧房屋改造项目分表!$AG$6:$AG$353,"否",危旧房屋改造项目分表!$V$6:$V$353,"&gt;=90%")+SUMIFS(危旧房屋改造项目分表!$AC$6:$AC$353,危旧房屋改造项目分表!$B$6:$B$353,"开福区",危旧房屋改造项目分表!$AG$6:$AG$353,"否",危旧房屋改造项目分表!$AB$6:$AB$353,"&gt;=90%")</f>
        <v>0</v>
      </c>
      <c r="H77" s="143">
        <f>SUMIFS(危旧房屋改造项目分表!$AC$6:$AC$353,危旧房屋改造项目分表!$B$6:$B$353,"雨花区",危旧房屋改造项目分表!$AG$6:$AG$353,"否",危旧房屋改造项目分表!$V$6:$V$353,"&gt;=90%")+SUMIFS(危旧房屋改造项目分表!$AC$6:$AC$353,危旧房屋改造项目分表!$B$6:$B$353,"雨花区",危旧房屋改造项目分表!$AG$6:$AG$353,"否",危旧房屋改造项目分表!$AB$6:$AB$353,"&gt;=90%")</f>
        <v>0</v>
      </c>
      <c r="I77" s="143">
        <f>SUMIFS(危旧房屋改造项目分表!$AC$6:$AC$353,危旧房屋改造项目分表!$B$6:$B$353,"长沙县",危旧房屋改造项目分表!$AG$6:$AG$353,"否",危旧房屋改造项目分表!$V$6:$V$353,"&gt;=90%")+SUMIFS(危旧房屋改造项目分表!$AC$6:$AC$353,危旧房屋改造项目分表!$B$6:$B$353,"长沙县",危旧房屋改造项目分表!$AG$6:$AG$353,"否",危旧房屋改造项目分表!$AB$6:$AB$353,"&gt;=90%")</f>
        <v>0</v>
      </c>
      <c r="J77" s="143">
        <f>SUMIFS(危旧房屋改造项目分表!$AC$6:$AC$353,危旧房屋改造项目分表!$B$6:$B$353,"望城区",危旧房屋改造项目分表!$AG$6:$AG$353,"否",危旧房屋改造项目分表!$V$6:$V$353,"&gt;=90%")+SUMIFS(危旧房屋改造项目分表!$AC$6:$AC$353,危旧房屋改造项目分表!$B$6:$B$353,"望城区",危旧房屋改造项目分表!$AG$6:$AG$353,"否",危旧房屋改造项目分表!$AB$6:$AB$353,"&gt;=90%")</f>
        <v>0</v>
      </c>
      <c r="K77" s="143">
        <f>SUMIFS(危旧房屋改造项目分表!$AC$6:$AC$353,危旧房屋改造项目分表!$B$6:$B$353,"浏阳市",危旧房屋改造项目分表!$AG$6:$AG$353,"否",危旧房屋改造项目分表!$V$6:$V$353,"&gt;=90%")+SUMIFS(危旧房屋改造项目分表!$AC$6:$AC$353,危旧房屋改造项目分表!$B$6:$B$353,"浏阳市",危旧房屋改造项目分表!$AG$6:$AG$353,"否",危旧房屋改造项目分表!$AB$6:$AB$353,"&gt;=90%")</f>
        <v>0</v>
      </c>
      <c r="L77" s="143">
        <f>SUMIFS(危旧房屋改造项目分表!$AC$6:$AC$353,危旧房屋改造项目分表!$B$6:$B$353,"宁乡市",危旧房屋改造项目分表!$AG$6:$AG$353,"否",危旧房屋改造项目分表!$V$6:$V$353,"&gt;=90%")+SUMIFS(危旧房屋改造项目分表!$AC$6:$AC$353,危旧房屋改造项目分表!$B$6:$B$353,"宁乡市",危旧房屋改造项目分表!$AG$6:$AG$353,"否",危旧房屋改造项目分表!$AB$6:$AB$353,"&gt;=90%")</f>
        <v>0</v>
      </c>
      <c r="M77" s="143">
        <f>SUMIFS(危旧房屋改造项目分表!$AC$6:$AC$353,危旧房屋改造项目分表!$AG$6:$AG$353,"是",危旧房屋改造项目分表!$V$6:$V$353,"&gt;=90%")+SUMIFS(危旧房屋改造项目分表!$AC$6:$AC$353,危旧房屋改造项目分表!$AG$6:$AG$353,"是",危旧房屋改造项目分表!$AB$6:$AB$353,"&gt;=90%")</f>
        <v>0</v>
      </c>
      <c r="N77" s="130">
        <f t="shared" si="13"/>
        <v>0</v>
      </c>
      <c r="O77" s="149">
        <f>IF(ISERROR(N77/$N$7),"",N77/$N$7)</f>
        <v>0</v>
      </c>
    </row>
    <row r="78" ht="14.85" customHeight="1" spans="1:15">
      <c r="A78" s="145"/>
      <c r="B78" s="129" t="s">
        <v>14</v>
      </c>
      <c r="C78" s="140" t="s">
        <v>17</v>
      </c>
      <c r="D78" s="141">
        <f t="shared" ref="D78:M78" si="23">D71+D74</f>
        <v>0</v>
      </c>
      <c r="E78" s="141">
        <f t="shared" si="23"/>
        <v>0</v>
      </c>
      <c r="F78" s="141">
        <f t="shared" si="23"/>
        <v>0</v>
      </c>
      <c r="G78" s="141">
        <f t="shared" si="23"/>
        <v>0</v>
      </c>
      <c r="H78" s="141">
        <f t="shared" si="23"/>
        <v>0</v>
      </c>
      <c r="I78" s="141">
        <f t="shared" si="23"/>
        <v>0</v>
      </c>
      <c r="J78" s="141">
        <f t="shared" si="23"/>
        <v>0</v>
      </c>
      <c r="K78" s="141">
        <f t="shared" si="23"/>
        <v>0</v>
      </c>
      <c r="L78" s="141">
        <f t="shared" si="23"/>
        <v>0</v>
      </c>
      <c r="M78" s="141">
        <f t="shared" si="23"/>
        <v>17</v>
      </c>
      <c r="N78" s="130">
        <f t="shared" si="13"/>
        <v>17</v>
      </c>
      <c r="O78" s="149">
        <f>IF(ISERROR(N78/N4),"",N78/N4)</f>
        <v>0.0488505747126437</v>
      </c>
    </row>
    <row r="79" ht="14.85" customHeight="1" spans="1:15">
      <c r="A79" s="145"/>
      <c r="B79" s="129"/>
      <c r="C79" s="140" t="s">
        <v>18</v>
      </c>
      <c r="D79" s="141">
        <f t="shared" ref="D79:M79" si="24">D72+D75</f>
        <v>0</v>
      </c>
      <c r="E79" s="141">
        <f t="shared" si="24"/>
        <v>0</v>
      </c>
      <c r="F79" s="141">
        <f t="shared" si="24"/>
        <v>0</v>
      </c>
      <c r="G79" s="141">
        <f t="shared" si="24"/>
        <v>0</v>
      </c>
      <c r="H79" s="141">
        <f t="shared" si="24"/>
        <v>0</v>
      </c>
      <c r="I79" s="141">
        <f t="shared" si="24"/>
        <v>0</v>
      </c>
      <c r="J79" s="141">
        <f t="shared" si="24"/>
        <v>0</v>
      </c>
      <c r="K79" s="141">
        <f t="shared" si="24"/>
        <v>0</v>
      </c>
      <c r="L79" s="141">
        <f t="shared" si="24"/>
        <v>0</v>
      </c>
      <c r="M79" s="141">
        <f t="shared" si="24"/>
        <v>31</v>
      </c>
      <c r="N79" s="130">
        <f t="shared" si="13"/>
        <v>31</v>
      </c>
      <c r="O79" s="149">
        <f t="shared" ref="O78:O81" si="25">IF(ISERROR(N79/N5),"",N79/N5)</f>
        <v>0.00858250276854928</v>
      </c>
    </row>
    <row r="80" ht="14.85" customHeight="1" spans="1:15">
      <c r="A80" s="145"/>
      <c r="B80" s="129"/>
      <c r="C80" s="140" t="s">
        <v>19</v>
      </c>
      <c r="D80" s="141">
        <f t="shared" ref="D80:M80" si="26">D73+D76</f>
        <v>0</v>
      </c>
      <c r="E80" s="141">
        <f t="shared" si="26"/>
        <v>0</v>
      </c>
      <c r="F80" s="141">
        <f t="shared" si="26"/>
        <v>0</v>
      </c>
      <c r="G80" s="141">
        <f t="shared" si="26"/>
        <v>0</v>
      </c>
      <c r="H80" s="141">
        <f t="shared" si="26"/>
        <v>0</v>
      </c>
      <c r="I80" s="141">
        <f t="shared" si="26"/>
        <v>0</v>
      </c>
      <c r="J80" s="141">
        <f t="shared" si="26"/>
        <v>0</v>
      </c>
      <c r="K80" s="141">
        <f t="shared" si="26"/>
        <v>0</v>
      </c>
      <c r="L80" s="141">
        <f t="shared" si="26"/>
        <v>0</v>
      </c>
      <c r="M80" s="141">
        <f t="shared" si="26"/>
        <v>1402.7</v>
      </c>
      <c r="N80" s="130">
        <f t="shared" si="13"/>
        <v>1402.7</v>
      </c>
      <c r="O80" s="149">
        <f t="shared" si="25"/>
        <v>0.00799910719311175</v>
      </c>
    </row>
    <row r="81" ht="14.85" customHeight="1" spans="1:15">
      <c r="A81" s="145"/>
      <c r="B81" s="129"/>
      <c r="C81" s="140" t="s">
        <v>37</v>
      </c>
      <c r="D81" s="143">
        <f>SUMIFS(危旧房屋改造项目分表!$AC$6:$AC$353,危旧房屋改造项目分表!$B$6:$B$353,"芙蓉区",危旧房屋改造项目分表!$AG$6:$AG$353,"否")</f>
        <v>0</v>
      </c>
      <c r="E81" s="143">
        <f>SUMIFS(危旧房屋改造项目分表!$AC$6:$AC$353,危旧房屋改造项目分表!$B$6:$B$353,"天心区",危旧房屋改造项目分表!$AG$6:$AG$353,"否")</f>
        <v>0</v>
      </c>
      <c r="F81" s="143">
        <f>SUMIFS(危旧房屋改造项目分表!$AC$6:$AC$353,危旧房屋改造项目分表!$B$6:$B$353,"岳麓区",危旧房屋改造项目分表!$AG$6:$AG$353,"否")</f>
        <v>0</v>
      </c>
      <c r="G81" s="143">
        <f>SUMIFS(危旧房屋改造项目分表!$AC$6:$AC$353,危旧房屋改造项目分表!$B$6:$B$353,"开福区",危旧房屋改造项目分表!$AG$6:$AG$353,"否")</f>
        <v>0</v>
      </c>
      <c r="H81" s="143">
        <f>SUMIFS(危旧房屋改造项目分表!$AC$6:$AC$353,危旧房屋改造项目分表!$B$6:$B$353,"雨花区",危旧房屋改造项目分表!$AG$6:$AG$353,"否")</f>
        <v>0</v>
      </c>
      <c r="I81" s="143">
        <f>SUMIFS(危旧房屋改造项目分表!$AC$6:$AC$353,危旧房屋改造项目分表!$B$6:$B$353,"长沙县",危旧房屋改造项目分表!$AG$6:$AG$353,"否")</f>
        <v>0</v>
      </c>
      <c r="J81" s="143">
        <f>SUMIFS(危旧房屋改造项目分表!$AC$6:$AC$353,危旧房屋改造项目分表!$B$6:$B$353,"望城区",危旧房屋改造项目分表!$AG$6:$AG$353,"否")</f>
        <v>0</v>
      </c>
      <c r="K81" s="143">
        <f>SUMIFS(危旧房屋改造项目分表!$AC$6:$AC$353,危旧房屋改造项目分表!$B$6:$B$353,"浏阳市",危旧房屋改造项目分表!$AG$6:$AG$353,"否")</f>
        <v>0</v>
      </c>
      <c r="L81" s="143">
        <f>SUMIFS(危旧房屋改造项目分表!$AC$6:$AC$353,危旧房屋改造项目分表!$B$6:$B$353,"宁乡市",危旧房屋改造项目分表!$AG$6:$AG$353,"否")</f>
        <v>0</v>
      </c>
      <c r="M81" s="143">
        <f>SUMIFS(危旧房屋改造项目分表!$AC$6:$AC$353,危旧房屋改造项目分表!$AG$6:$AG$353,"是")</f>
        <v>0</v>
      </c>
      <c r="N81" s="130">
        <f t="shared" si="13"/>
        <v>0</v>
      </c>
      <c r="O81" s="149">
        <f t="shared" si="25"/>
        <v>0</v>
      </c>
    </row>
    <row r="82" ht="14.85" customHeight="1" spans="1:15">
      <c r="A82" s="145"/>
      <c r="B82" s="129"/>
      <c r="C82" s="140" t="s">
        <v>38</v>
      </c>
      <c r="D82" s="149">
        <f>IFERROR((SUMPRODUCT((危旧房屋改造项目分表!$B$6:$B$353="芙蓉区")*(危旧房屋改造项目分表!AG$6:$AG$353="否")*(危旧房屋改造项目分表!$V$6:$V$353+危旧房屋改造项目分表!$AB$6:$AB$353))/D$4),"")</f>
        <v>0</v>
      </c>
      <c r="E82" s="149">
        <f>IFERROR((SUMPRODUCT((危旧房屋改造项目分表!$B$6:$B$353="天心区")*(危旧房屋改造项目分表!$AG$6:AH$353="否")*(危旧房屋改造项目分表!$V$6:$V$353+危旧房屋改造项目分表!$AB$6:$AB$353))/E$4),"")</f>
        <v>0</v>
      </c>
      <c r="F82" s="149">
        <f>IFERROR((SUMPRODUCT((危旧房屋改造项目分表!$B$6:$B$353="岳麓区")*(危旧房屋改造项目分表!$AG$6:AI$353="否")*(危旧房屋改造项目分表!$V$6:$V$353+危旧房屋改造项目分表!$AB$6:$AB$353))/F$4),"")</f>
        <v>0</v>
      </c>
      <c r="G82" s="149">
        <f>IFERROR((SUMPRODUCT((危旧房屋改造项目分表!$B$6:$B$353="开福区")*(危旧房屋改造项目分表!$AG$6:AJ$353="否")*(危旧房屋改造项目分表!$V$6:$V$353+危旧房屋改造项目分表!$AB$6:$AB$353))/G$4),"")</f>
        <v>0</v>
      </c>
      <c r="H82" s="149">
        <f>IFERROR((SUMPRODUCT((危旧房屋改造项目分表!$B$6:$B$353="雨花区")*(危旧房屋改造项目分表!$AG$6:AK$353="否")*(危旧房屋改造项目分表!$V$6:$V$353+危旧房屋改造项目分表!$AB$6:$AB$353))/H$4),"")</f>
        <v>0</v>
      </c>
      <c r="I82" s="149">
        <f>IFERROR((SUMPRODUCT((危旧房屋改造项目分表!$B$6:$B$353="长沙县")*(危旧房屋改造项目分表!$AG$6:AL$353="否")*(危旧房屋改造项目分表!$V$6:$V$353+危旧房屋改造项目分表!$AB$6:$AB$353))/I$4),"")</f>
        <v>0</v>
      </c>
      <c r="J82" s="149">
        <f>IFERROR((SUMPRODUCT((危旧房屋改造项目分表!$B$6:$B$353="望城区")*(危旧房屋改造项目分表!$AG$6:AM$353="否")*(危旧房屋改造项目分表!$V$6:$V$353+危旧房屋改造项目分表!$AB$6:$AB$353))/J$4),"")</f>
        <v>0</v>
      </c>
      <c r="K82" s="149">
        <f>IFERROR((SUMPRODUCT((危旧房屋改造项目分表!$B$6:$B$353="浏阳市")*(危旧房屋改造项目分表!$AG$6:AN$353="否")*(危旧房屋改造项目分表!$V$6:$V$353+危旧房屋改造项目分表!$AB$6:$AB$353))/K$4),"")</f>
        <v>0</v>
      </c>
      <c r="L82" s="149" t="str">
        <f>IFERROR((SUMPRODUCT((危旧房屋改造项目分表!$B$6:$B$353="宁乡市")*(危旧房屋改造项目分表!$AG$6:AO$353="否")*(危旧房屋改造项目分表!$V$6:$V$353+危旧房屋改造项目分表!$AB$6:$AB$353))/L$4),"")</f>
        <v/>
      </c>
      <c r="M82" s="149">
        <f>IFERROR((SUMPRODUCT((危旧房屋改造项目分表!$AG$6:AP$353="是")*(危旧房屋改造项目分表!$V$6:$V$353+危旧房屋改造项目分表!$AB$6:$AB$353))/M$4),"")</f>
        <v>0.0936440677966102</v>
      </c>
      <c r="N82" s="157">
        <f>IFERROR((SUMPRODUCT((危旧房屋改造项目分表!$V$6:$V$353+危旧房屋改造项目分表!$AB$6:$AB$353))/N$4),"")</f>
        <v>0.0635057471264368</v>
      </c>
      <c r="O82" s="158"/>
    </row>
    <row r="83" ht="14.85" customHeight="1" spans="1:15">
      <c r="A83" s="150"/>
      <c r="B83" s="129"/>
      <c r="C83" s="140" t="s">
        <v>39</v>
      </c>
      <c r="D83" s="149">
        <f t="shared" ref="D83:N83" si="27">D78/D4</f>
        <v>0</v>
      </c>
      <c r="E83" s="149">
        <f t="shared" si="27"/>
        <v>0</v>
      </c>
      <c r="F83" s="149">
        <f t="shared" si="27"/>
        <v>0</v>
      </c>
      <c r="G83" s="149">
        <f t="shared" si="27"/>
        <v>0</v>
      </c>
      <c r="H83" s="149">
        <f t="shared" si="27"/>
        <v>0</v>
      </c>
      <c r="I83" s="149">
        <f t="shared" si="27"/>
        <v>0</v>
      </c>
      <c r="J83" s="149">
        <f t="shared" si="27"/>
        <v>0</v>
      </c>
      <c r="K83" s="149">
        <f t="shared" si="27"/>
        <v>0</v>
      </c>
      <c r="L83" s="149" t="e">
        <f t="shared" si="27"/>
        <v>#DIV/0!</v>
      </c>
      <c r="M83" s="149">
        <f t="shared" si="27"/>
        <v>0.0720338983050847</v>
      </c>
      <c r="N83" s="157">
        <f t="shared" si="27"/>
        <v>0.0488505747126437</v>
      </c>
      <c r="O83" s="158"/>
    </row>
  </sheetData>
  <protectedRanges>
    <protectedRange sqref="R488:AB488" name="区域1"/>
    <protectedRange sqref="R6:AB75 AC6:AC488" name="区域1_1"/>
  </protectedRanges>
  <mergeCells count="34">
    <mergeCell ref="A1:O1"/>
    <mergeCell ref="A2:C2"/>
    <mergeCell ref="N2:O2"/>
    <mergeCell ref="A3:C3"/>
    <mergeCell ref="A8:A22"/>
    <mergeCell ref="A23:A37"/>
    <mergeCell ref="A38:A52"/>
    <mergeCell ref="A53:A67"/>
    <mergeCell ref="A71:A83"/>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71:B73"/>
    <mergeCell ref="B74:B77"/>
    <mergeCell ref="B78:B83"/>
    <mergeCell ref="A4:B7"/>
    <mergeCell ref="A68:B70"/>
  </mergeCells>
  <pageMargins left="0.94375" right="0.388888888888889" top="0.979166666666667" bottom="0.588888888888889" header="0.5" footer="0.588888888888889"/>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N87"/>
  <sheetViews>
    <sheetView showZeros="0" zoomScale="143" zoomScaleNormal="143" workbookViewId="0">
      <pane xSplit="2" ySplit="3" topLeftCell="C4" activePane="bottomRight" state="frozen"/>
      <selection/>
      <selection pane="topRight"/>
      <selection pane="bottomLeft"/>
      <selection pane="bottomRight" activeCell="I11" sqref="I11"/>
    </sheetView>
  </sheetViews>
  <sheetFormatPr defaultColWidth="9.81666666666667" defaultRowHeight="14.25"/>
  <cols>
    <col min="1" max="1" width="8.175" style="118" customWidth="1"/>
    <col min="2" max="2" width="10.6333333333333" style="118" customWidth="1"/>
    <col min="3" max="3" width="12.6833333333333" style="119" customWidth="1"/>
    <col min="4" max="13" width="9.40833333333333" style="118" customWidth="1"/>
    <col min="14" max="14" width="10.5416666666667" style="118" customWidth="1"/>
    <col min="15" max="16384" width="9.81666666666667" style="118"/>
  </cols>
  <sheetData>
    <row r="1" ht="22.5" spans="1:14">
      <c r="A1" s="120" t="s">
        <v>0</v>
      </c>
      <c r="B1" s="121"/>
      <c r="C1" s="121"/>
      <c r="D1" s="121"/>
      <c r="E1" s="121"/>
      <c r="F1" s="121"/>
      <c r="G1" s="121"/>
      <c r="H1" s="121"/>
      <c r="I1" s="121"/>
      <c r="J1" s="121"/>
      <c r="K1" s="121"/>
      <c r="L1" s="121"/>
      <c r="M1" s="121"/>
      <c r="N1" s="121"/>
    </row>
    <row r="2" ht="13.5" spans="1:14">
      <c r="A2" s="122" t="s">
        <v>1</v>
      </c>
      <c r="B2" s="122"/>
      <c r="C2" s="123"/>
      <c r="D2" s="124"/>
      <c r="E2" s="124"/>
      <c r="F2" s="124"/>
      <c r="G2" s="124"/>
      <c r="H2" s="124"/>
      <c r="I2" s="146"/>
      <c r="J2" s="146"/>
      <c r="K2" s="146"/>
      <c r="L2" s="146" t="s">
        <v>2</v>
      </c>
      <c r="M2" s="147"/>
      <c r="N2" s="148"/>
    </row>
    <row r="3" ht="16" customHeight="1" spans="1:14">
      <c r="A3" s="125" t="s">
        <v>3</v>
      </c>
      <c r="B3" s="125"/>
      <c r="C3" s="125"/>
      <c r="D3" s="126" t="s">
        <v>4</v>
      </c>
      <c r="E3" s="126" t="s">
        <v>5</v>
      </c>
      <c r="F3" s="126" t="s">
        <v>6</v>
      </c>
      <c r="G3" s="126" t="s">
        <v>7</v>
      </c>
      <c r="H3" s="126" t="s">
        <v>8</v>
      </c>
      <c r="I3" s="126" t="s">
        <v>9</v>
      </c>
      <c r="J3" s="126" t="s">
        <v>10</v>
      </c>
      <c r="K3" s="126" t="s">
        <v>11</v>
      </c>
      <c r="L3" s="126" t="s">
        <v>12</v>
      </c>
      <c r="M3" s="126" t="s">
        <v>14</v>
      </c>
      <c r="N3" s="126" t="s">
        <v>15</v>
      </c>
    </row>
    <row r="4" ht="16" customHeight="1" spans="1:14">
      <c r="A4" s="127" t="s">
        <v>16</v>
      </c>
      <c r="B4" s="128"/>
      <c r="C4" s="129" t="s">
        <v>17</v>
      </c>
      <c r="D4" s="130">
        <f>COUNTIFS(危旧房屋改造项目分表!$B$6:$B$353,D3)</f>
        <v>45</v>
      </c>
      <c r="E4" s="130">
        <f>COUNTIFS(危旧房屋改造项目分表!$B$6:$B$353,E3)</f>
        <v>144</v>
      </c>
      <c r="F4" s="130">
        <f>COUNTIFS(危旧房屋改造项目分表!$B$6:$B$353,F3)</f>
        <v>10</v>
      </c>
      <c r="G4" s="130">
        <f>COUNTIFS(危旧房屋改造项目分表!$B$6:$B$353,G3)</f>
        <v>116</v>
      </c>
      <c r="H4" s="130">
        <f>COUNTIFS(危旧房屋改造项目分表!$B$6:$B$353,H3)</f>
        <v>28</v>
      </c>
      <c r="I4" s="130">
        <f>COUNTIFS(危旧房屋改造项目分表!$B$6:$B$353,I3)</f>
        <v>2</v>
      </c>
      <c r="J4" s="130">
        <f>COUNTIFS(危旧房屋改造项目分表!$B$6:$B$353,J3)</f>
        <v>2</v>
      </c>
      <c r="K4" s="130">
        <f>COUNTIFS(危旧房屋改造项目分表!$B$6:$B$353,K3)</f>
        <v>1</v>
      </c>
      <c r="L4" s="130">
        <f>COUNTIFS(危旧房屋改造项目分表!$B$6:$B$353,L3)</f>
        <v>0</v>
      </c>
      <c r="M4" s="130">
        <f>SUM($D$4:$L$4)</f>
        <v>348</v>
      </c>
      <c r="N4" s="130"/>
    </row>
    <row r="5" ht="14" customHeight="1" spans="1:14">
      <c r="A5" s="131"/>
      <c r="B5" s="132"/>
      <c r="C5" s="129" t="s">
        <v>18</v>
      </c>
      <c r="D5" s="130">
        <f>SUMIFS(危旧房屋改造项目分表!$K$6:$K$353,危旧房屋改造项目分表!$B$6:$B$353,"芙蓉区")</f>
        <v>178</v>
      </c>
      <c r="E5" s="130">
        <f>SUMIFS(危旧房屋改造项目分表!$K$6:$K$353,危旧房屋改造项目分表!$B$6:$B$353,"天心区")</f>
        <v>1398</v>
      </c>
      <c r="F5" s="130">
        <f>SUMIFS(危旧房屋改造项目分表!$K$6:$K$353,危旧房屋改造项目分表!$B$6:$B$353,"岳麓区")</f>
        <v>165</v>
      </c>
      <c r="G5" s="130">
        <f>SUMIFS(危旧房屋改造项目分表!$K$6:$K$353,危旧房屋改造项目分表!$B$6:$B$353,"开福区")</f>
        <v>926</v>
      </c>
      <c r="H5" s="130">
        <f>SUMIFS(危旧房屋改造项目分表!$K$6:$K$353,危旧房屋改造项目分表!$B$6:$B$353,"雨花区")</f>
        <v>917</v>
      </c>
      <c r="I5" s="130">
        <f>SUMIFS(危旧房屋改造项目分表!$K$6:$K$353,危旧房屋改造项目分表!$B$6:$B$353,"长沙县")</f>
        <v>26</v>
      </c>
      <c r="J5" s="130">
        <f>SUMIFS(危旧房屋改造项目分表!$K$6:$K$353,危旧房屋改造项目分表!$B$6:$B$353,"望城区")</f>
        <v>2</v>
      </c>
      <c r="K5" s="130">
        <f>SUMIFS(危旧房屋改造项目分表!$K$6:$K$353,危旧房屋改造项目分表!$B$6:$B$353,"浏阳市")</f>
        <v>0</v>
      </c>
      <c r="L5" s="130">
        <f>SUMIFS(危旧房屋改造项目分表!$K$6:$K$353,危旧房屋改造项目分表!$B$6:$B$353,"宁乡市")</f>
        <v>0</v>
      </c>
      <c r="M5" s="130">
        <f>SUM($D$5:$L$5)</f>
        <v>3612</v>
      </c>
      <c r="N5" s="130"/>
    </row>
    <row r="6" ht="17" customHeight="1" spans="1:14">
      <c r="A6" s="131"/>
      <c r="B6" s="132"/>
      <c r="C6" s="129" t="s">
        <v>19</v>
      </c>
      <c r="D6" s="130">
        <f>SUMIFS(危旧房屋改造项目分表!$L$6:$L$353,危旧房屋改造项目分表!$B$6:$B$353,"芙蓉区")</f>
        <v>9163.11</v>
      </c>
      <c r="E6" s="130">
        <f>SUMIFS(危旧房屋改造项目分表!$L$6:$L$353,危旧房屋改造项目分表!$B$6:$B$353,"天心区")</f>
        <v>61307.67</v>
      </c>
      <c r="F6" s="130">
        <f>SUMIFS(危旧房屋改造项目分表!$L$6:$L$353,危旧房屋改造项目分表!$B$6:$B$353,"岳麓区")</f>
        <v>7978.06</v>
      </c>
      <c r="G6" s="130">
        <f>SUMIFS(危旧房屋改造项目分表!$L$6:$L$353,危旧房屋改造项目分表!$B$6:$B$353,"开福区")</f>
        <v>52194.38</v>
      </c>
      <c r="H6" s="130">
        <f>SUMIFS(危旧房屋改造项目分表!$L$6:$L$353,危旧房屋改造项目分表!$B$6:$B$353,"雨花区")</f>
        <v>41634.59</v>
      </c>
      <c r="I6" s="130">
        <f>SUMIFS(危旧房屋改造项目分表!$L$6:$L$353,危旧房屋改造项目分表!$B$6:$B$353,"长沙县")</f>
        <v>1327</v>
      </c>
      <c r="J6" s="130">
        <f>SUMIFS(危旧房屋改造项目分表!$L$6:$L$353,危旧房屋改造项目分表!$B$6:$B$353,"望城区")</f>
        <v>752.26</v>
      </c>
      <c r="K6" s="130">
        <f>SUMIFS(危旧房屋改造项目分表!$L$6:$L$353,危旧房屋改造项目分表!$B$6:$B$353,"浏阳市")</f>
        <v>1000</v>
      </c>
      <c r="L6" s="130">
        <f>SUMIFS(危旧房屋改造项目分表!$L$6:$L$353,危旧房屋改造项目分表!$B$6:$B$353,"宁乡市")</f>
        <v>0</v>
      </c>
      <c r="M6" s="130">
        <f>SUM($D$6:$L$6)</f>
        <v>175357.07</v>
      </c>
      <c r="N6" s="130"/>
    </row>
    <row r="7" ht="15" customHeight="1" spans="1:14">
      <c r="A7" s="133"/>
      <c r="B7" s="134"/>
      <c r="C7" s="129" t="s">
        <v>20</v>
      </c>
      <c r="D7" s="130">
        <f>SUMIFS(危旧房屋改造项目分表!$P$6:$P$353,危旧房屋改造项目分表!$B$6:$B$353,"芙蓉区")</f>
        <v>1919.5672</v>
      </c>
      <c r="E7" s="130">
        <f>SUMIFS(危旧房屋改造项目分表!$P$6:$P$353,危旧房屋改造项目分表!$B$6:$B$353,"天心区")</f>
        <v>60386.4225</v>
      </c>
      <c r="F7" s="130">
        <f>SUMIFS(危旧房屋改造项目分表!$P$6:$P$353,危旧房屋改造项目分表!$B$6:$B$353,"岳麓区")</f>
        <v>1115.7696</v>
      </c>
      <c r="G7" s="130">
        <f>SUMIFS(危旧房屋改造项目分表!$P$6:$P$353,危旧房屋改造项目分表!$B$6:$B$353,"开福区")</f>
        <v>9244.7994</v>
      </c>
      <c r="H7" s="130">
        <f>SUMIFS(危旧房屋改造项目分表!$P$6:$P$353,危旧房屋改造项目分表!$B$6:$B$353,"雨花区")</f>
        <v>32835.837</v>
      </c>
      <c r="I7" s="130">
        <f>SUMIFS(危旧房屋改造项目分表!$P$6:$P$353,危旧房屋改造项目分表!$B$6:$B$353,"长沙县")</f>
        <v>0</v>
      </c>
      <c r="J7" s="130">
        <f>SUMIFS(危旧房屋改造项目分表!$P$6:$P$353,危旧房屋改造项目分表!$B$6:$B$353,"望城区")</f>
        <v>60.11</v>
      </c>
      <c r="K7" s="130">
        <f>SUMIFS(危旧房屋改造项目分表!$P$6:$P$353,危旧房屋改造项目分表!$B$6:$B$353,"浏阳市")</f>
        <v>0</v>
      </c>
      <c r="L7" s="130">
        <f>SUMIFS(危旧房屋改造项目分表!$P$6:$P$353,危旧房屋改造项目分表!$B$6:$B$353,"宁乡市")</f>
        <v>0</v>
      </c>
      <c r="M7" s="130">
        <f>SUM($D$7:$L$7)</f>
        <v>105562.5057</v>
      </c>
      <c r="N7" s="130"/>
    </row>
    <row r="8" ht="14.85" customHeight="1" spans="1:14">
      <c r="A8" s="135" t="s">
        <v>21</v>
      </c>
      <c r="B8" s="136" t="s">
        <v>22</v>
      </c>
      <c r="C8" s="129" t="s">
        <v>17</v>
      </c>
      <c r="D8" s="130">
        <f>IFERROR(SUMPRODUCT((危旧房屋改造项目分表!$B$6:$B$353=$D$3)*(危旧房屋改造项目分表!$O$6:$O$353="维修加固")*(危旧房屋改造项目分表!$V$6:$V$353&lt;=10%)*危旧房屋改造项目分表!$AF$6:$AF$353),"")</f>
        <v>2</v>
      </c>
      <c r="E8" s="130">
        <f>IFERROR(SUMPRODUCT((危旧房屋改造项目分表!$B$6:$B$353=$E$3)*(危旧房屋改造项目分表!$O$6:$O$353="维修加固")*(危旧房屋改造项目分表!$V$6:$V$353&lt;=10%)*危旧房屋改造项目分表!$AF$6:$AF$353),"")</f>
        <v>81</v>
      </c>
      <c r="F8" s="130">
        <f>IFERROR(SUMPRODUCT((危旧房屋改造项目分表!$B$6:$B$353=$F$3)*(危旧房屋改造项目分表!$O$6:$O$353="维修加固")*(危旧房屋改造项目分表!$V$6:$V$353&lt;10%)*危旧房屋改造项目分表!$AF$6:$AF$353),"")</f>
        <v>10</v>
      </c>
      <c r="G8" s="130">
        <f>IFERROR(SUMPRODUCT((危旧房屋改造项目分表!$B$6:$B$353=$G$3)*(危旧房屋改造项目分表!$O$6:$O$353="维修加固")*(危旧房屋改造项目分表!$V$6:$V$353&lt;10%)*危旧房屋改造项目分表!$AF$6:$AF$353),"")</f>
        <v>63</v>
      </c>
      <c r="H8" s="130">
        <f>IFERROR(SUMPRODUCT((危旧房屋改造项目分表!$B$6:$B$353=$H$3)*(危旧房屋改造项目分表!$O$6:$O$353="维修加固")*(危旧房屋改造项目分表!$V$6:$V$353&lt;10%)*危旧房屋改造项目分表!$AF$6:$AF$353),"")</f>
        <v>5</v>
      </c>
      <c r="I8" s="130">
        <f>IFERROR(SUMPRODUCT((危旧房屋改造项目分表!$B$6:$B$353=$I$3)*(危旧房屋改造项目分表!$O$6:$O$353="维修加固")*(危旧房屋改造项目分表!$V$6:$V$353&lt;10%)*危旧房屋改造项目分表!$AF$6:$AF$353),"")</f>
        <v>0</v>
      </c>
      <c r="J8" s="130">
        <f>IFERROR(SUMPRODUCT((危旧房屋改造项目分表!$B$6:$B$353=$J$3)*(危旧房屋改造项目分表!$O$6:$O$353="维修加固")*(危旧房屋改造项目分表!$V$6:$V$353&lt;10%)*危旧房屋改造项目分表!$AF$6:$AF$353),"")</f>
        <v>0</v>
      </c>
      <c r="K8" s="130">
        <f>IFERROR(SUMPRODUCT((危旧房屋改造项目分表!$B$6:$B$353=$K$3)*(危旧房屋改造项目分表!$O$6:$O$353="维修加固")*(危旧房屋改造项目分表!$V$6:$V$353&lt;10%)*危旧房屋改造项目分表!$AF$6:$AF$353),"")</f>
        <v>0</v>
      </c>
      <c r="L8" s="130">
        <f>IFERROR(SUMPRODUCT((危旧房屋改造项目分表!$B$6:$B$353=$L$3)*(危旧房屋改造项目分表!$O$6:$O$353="维修加固")*(危旧房屋改造项目分表!$V$6:$V$353&lt;10%)*危旧房屋改造项目分表!$AF$6:$AF$353),"")</f>
        <v>0</v>
      </c>
      <c r="M8" s="130">
        <f>SUM($D$8:$L$8)</f>
        <v>161</v>
      </c>
      <c r="N8" s="149">
        <f>IF(ISERROR(M8/$M$20),"",M8/$M$20)</f>
        <v>0.865591397849462</v>
      </c>
    </row>
    <row r="9" ht="14.85" customHeight="1" spans="1:14">
      <c r="A9" s="137"/>
      <c r="B9" s="138"/>
      <c r="C9" s="129" t="s">
        <v>18</v>
      </c>
      <c r="D9" s="130">
        <f>IFERROR(SUMPRODUCT((危旧房屋改造项目分表!$B$6:$B$353=$D$3)*(危旧房屋改造项目分表!$O$6:$O$353="维修加固")*(危旧房屋改造项目分表!$V$6:$V$353&lt;=10%)*危旧房屋改造项目分表!$K$6:$K$353),"")</f>
        <v>37</v>
      </c>
      <c r="E9" s="130">
        <f>IFERROR(SUMPRODUCT((危旧房屋改造项目分表!$B$6:$B$353=$E$3)*(危旧房屋改造项目分表!$O$6:$O$353="维修加固")*(危旧房屋改造项目分表!$V$6:$V$353&lt;=10%)*危旧房屋改造项目分表!$K$6:$K$353),"")</f>
        <v>479</v>
      </c>
      <c r="F9" s="130">
        <f>IFERROR(SUMPRODUCT((危旧房屋改造项目分表!$B$6:$B$353=$F$3)*(危旧房屋改造项目分表!$O$6:$O$353="维修加固")*(危旧房屋改造项目分表!$V$6:$V$353&lt;10%)*危旧房屋改造项目分表!$K$6:$K$353),"")</f>
        <v>165</v>
      </c>
      <c r="G9" s="130">
        <f>IFERROR(SUMPRODUCT((危旧房屋改造项目分表!$B$6:$B$353=$G$3)*(危旧房屋改造项目分表!$O$6:$O$353="维修加固")*(危旧房屋改造项目分表!$V$6:$V$353&lt;10%)*危旧房屋改造项目分表!$K$6:$K$353),"")</f>
        <v>649</v>
      </c>
      <c r="H9" s="130">
        <f>IFERROR(SUMPRODUCT((危旧房屋改造项目分表!$B$6:$B$353=$H$3)*(危旧房屋改造项目分表!$O$6:$O$353="维修加固")*(危旧房屋改造项目分表!$V$6:$V$353&lt;10%)*危旧房屋改造项目分表!$K$6:$K$353),"")</f>
        <v>150</v>
      </c>
      <c r="I9" s="130">
        <f>IFERROR(SUMPRODUCT((危旧房屋改造项目分表!$B$6:$B$353=$I$3)*(危旧房屋改造项目分表!$O$6:$O$353="维修加固")*(危旧房屋改造项目分表!$V$6:$V$353&lt;10%)*危旧房屋改造项目分表!$K$6:$K$353),"")</f>
        <v>0</v>
      </c>
      <c r="J9" s="130">
        <f>IFERROR(SUMPRODUCT((危旧房屋改造项目分表!$B$6:$B$353=$J$3)*(危旧房屋改造项目分表!$O$6:$O$353="维修加固")*(危旧房屋改造项目分表!$V$6:$V$353&lt;10%)*危旧房屋改造项目分表!$K$6:$K$353),"")</f>
        <v>0</v>
      </c>
      <c r="K9" s="130">
        <f>IFERROR(SUMPRODUCT((危旧房屋改造项目分表!$B$6:$B$353=$K$3)*(危旧房屋改造项目分表!$O$6:$O$353="维修加固")*(危旧房屋改造项目分表!$V$6:$V$353&lt;10%)*危旧房屋改造项目分表!$K$6:$K$353),"")</f>
        <v>0</v>
      </c>
      <c r="L9" s="130">
        <f>IFERROR(SUMPRODUCT((危旧房屋改造项目分表!$B$6:$B$353=$L$3)*(危旧房屋改造项目分表!$O$6:$O$353="维修加固")*(危旧房屋改造项目分表!$V$6:$V$353&lt;10%)*危旧房屋改造项目分表!$K$6:$K$353),"")</f>
        <v>0</v>
      </c>
      <c r="M9" s="130">
        <f>SUM($D$9:$L$9)</f>
        <v>1480</v>
      </c>
      <c r="N9" s="149">
        <f>IF(ISERROR(M9/$M$21),"",M9/$M$21)</f>
        <v>0.954223081882656</v>
      </c>
    </row>
    <row r="10" ht="14.85" customHeight="1" spans="1:14">
      <c r="A10" s="137"/>
      <c r="B10" s="139"/>
      <c r="C10" s="129" t="s">
        <v>19</v>
      </c>
      <c r="D10" s="130">
        <f>IFERROR(SUMPRODUCT((危旧房屋改造项目分表!$B$6:$B$353=$D$3)*(危旧房屋改造项目分表!$O$6:$O$353="维修加固")*(危旧房屋改造项目分表!$V$6:$V$353&lt;=10%)*危旧房屋改造项目分表!$L$6:$L$353),"")</f>
        <v>2464.89</v>
      </c>
      <c r="E10" s="130">
        <f>IFERROR(SUMPRODUCT((危旧房屋改造项目分表!$B$6:$B$353=$E$3)*(危旧房屋改造项目分表!$O$6:$O$353="维修加固")*(危旧房屋改造项目分表!$V$6:$V$353&lt;=10%)*危旧房屋改造项目分表!$L$6:$L$353),"")</f>
        <v>20338.32</v>
      </c>
      <c r="F10" s="130">
        <f>IFERROR(SUMPRODUCT((危旧房屋改造项目分表!$B$6:$B$353=$F$3)*(危旧房屋改造项目分表!$O$6:$O$353="维修加固")*(危旧房屋改造项目分表!$V$6:$V$353&lt;=10%)*危旧房屋改造项目分表!$L$6:$L$353),"")</f>
        <v>7978.06</v>
      </c>
      <c r="G10" s="130">
        <f>IFERROR(SUMPRODUCT((危旧房屋改造项目分表!$B$6:$B$353=$G$3)*(危旧房屋改造项目分表!$O$6:$O$353="维修加固")*(危旧房屋改造项目分表!$V$6:$V$353&lt;=10%)*危旧房屋改造项目分表!$L$6:$L$353),"")</f>
        <v>39413.01</v>
      </c>
      <c r="H10" s="130">
        <f>IFERROR(SUMPRODUCT((危旧房屋改造项目分表!$B$6:$B$353=$H$3)*(危旧房屋改造项目分表!$O$6:$O$353="维修加固")*(危旧房屋改造项目分表!$V$6:$V$353&lt;=10%)*危旧房屋改造项目分表!$L$6:$L$353),"")</f>
        <v>8510.4</v>
      </c>
      <c r="I10" s="130">
        <f>IFERROR(SUMPRODUCT((危旧房屋改造项目分表!$B$6:$B$353=$I$3)*(危旧房屋改造项目分表!$O$6:$O$353="维修加固")*(危旧房屋改造项目分表!$V$6:$V$353&lt;=10%)*危旧房屋改造项目分表!$L$6:$L$353),"")</f>
        <v>0</v>
      </c>
      <c r="J10" s="130">
        <f>IFERROR(SUMPRODUCT((危旧房屋改造项目分表!$B$6:$B$353=$J$3)*(危旧房屋改造项目分表!$O$6:$O$353="维修加固")*(危旧房屋改造项目分表!$V$6:$V$353&lt;=10%)*危旧房屋改造项目分表!$L$6:$L$353),"")</f>
        <v>0</v>
      </c>
      <c r="K10" s="130">
        <f>IFERROR(SUMPRODUCT((危旧房屋改造项目分表!$B$6:$B$353=$K$3)*(危旧房屋改造项目分表!$O$6:$O$353="维修加固")*(危旧房屋改造项目分表!$V$6:$V$353&lt;=10%)*危旧房屋改造项目分表!$L$6:$L$353),"")</f>
        <v>0</v>
      </c>
      <c r="L10" s="130">
        <f>IFERROR(SUMPRODUCT((危旧房屋改造项目分表!$B$6:$B$353=$L$3)*(危旧房屋改造项目分表!$O$6:$O$353="维修加固")*(危旧房屋改造项目分表!$V$6:$V$353&lt;=10%)*危旧房屋改造项目分表!$L$6:$L$353),"")</f>
        <v>0</v>
      </c>
      <c r="M10" s="130">
        <f>SUM($D$10:$L$10)</f>
        <v>78704.68</v>
      </c>
      <c r="N10" s="149">
        <f>IF(ISERROR(M10/$M$22),"",M10/$M$22)</f>
        <v>0.959905649446715</v>
      </c>
    </row>
    <row r="11" ht="14.85" customHeight="1" spans="1:14">
      <c r="A11" s="137"/>
      <c r="B11" s="140" t="s">
        <v>23</v>
      </c>
      <c r="C11" s="129" t="s">
        <v>17</v>
      </c>
      <c r="D11" s="130">
        <f>IFERROR(SUMPRODUCT((危旧房屋改造项目分表!$B$6:$B$353=$D$3)*(危旧房屋改造项目分表!$O$6:$O$353="维修加固")*(危旧房屋改造项目分表!$V$6:$V$353&gt;=11%)*(危旧房屋改造项目分表!$V$6:$V$353&lt;=30%)*危旧房屋改造项目分表!$AF$6:$AF$353),"")</f>
        <v>12</v>
      </c>
      <c r="E11" s="130">
        <f>IFERROR(SUMPRODUCT((危旧房屋改造项目分表!$B$6:$B$353=$E$3)*(危旧房屋改造项目分表!$O$6:$O$353="维修加固")*(危旧房屋改造项目分表!$V$6:$V$353&gt;=11%)*(危旧房屋改造项目分表!$V$6:$V$353&lt;=30%)*危旧房屋改造项目分表!$AF$6:$AF$353),"")</f>
        <v>0</v>
      </c>
      <c r="F11" s="130">
        <f>IFERROR(SUMPRODUCT((危旧房屋改造项目分表!$B$6:$B$353=$F$3)*(危旧房屋改造项目分表!$O$6:$O$353="维修加固")*(危旧房屋改造项目分表!$V$6:$V$353&gt;=11%)*(危旧房屋改造项目分表!$V$6:$V$353&lt;=30%)*危旧房屋改造项目分表!$AF$6:$AF$353),"")</f>
        <v>0</v>
      </c>
      <c r="G11" s="130">
        <f>IFERROR(SUMPRODUCT((危旧房屋改造项目分表!$B$6:$B$353=$G$3)*(危旧房屋改造项目分表!$O$6:$O$353="维修加固")*(危旧房屋改造项目分表!$V$6:$V$353&gt;=11%)*(危旧房屋改造项目分表!$V$6:$V$353&lt;=30%)*危旧房屋改造项目分表!$AF$6:$AF$353),"")</f>
        <v>0</v>
      </c>
      <c r="H11" s="130">
        <f>IFERROR(SUMPRODUCT((危旧房屋改造项目分表!$B$6:$B$353=$H$3)*(危旧房屋改造项目分表!$O$6:$O$353="维修加固")*(危旧房屋改造项目分表!$V$6:$V$353&gt;=11%)*(危旧房屋改造项目分表!$V$6:$V$353&lt;=30%)*危旧房屋改造项目分表!$AF$6:$AF$353),"")</f>
        <v>0</v>
      </c>
      <c r="I11" s="130">
        <f>IFERROR(SUMPRODUCT((危旧房屋改造项目分表!$B$6:$B$353=$I$3)*(危旧房屋改造项目分表!$O$6:$O$353="维修加固")*(危旧房屋改造项目分表!$V$6:$V$353&gt;=11%)*(危旧房屋改造项目分表!$V$6:$V$353&lt;=30%)*危旧房屋改造项目分表!$AF$6:$AF$353),"")</f>
        <v>0</v>
      </c>
      <c r="J11" s="130">
        <f>IFERROR(SUMPRODUCT((危旧房屋改造项目分表!$B$6:$B$353=$J$3)*(危旧房屋改造项目分表!$O$6:$O$353="维修加固")*(危旧房屋改造项目分表!$V$6:$V$353&gt;=11%)*(危旧房屋改造项目分表!$V$6:$V$353&lt;=30%)*危旧房屋改造项目分表!$AF$6:$AF$353),"")</f>
        <v>0</v>
      </c>
      <c r="K11" s="130">
        <f>IFERROR(SUMPRODUCT((危旧房屋改造项目分表!$B$6:$B$353=$K$3)*(危旧房屋改造项目分表!$O$6:$O$353="维修加固")*(危旧房屋改造项目分表!$V$6:$V$353&gt;=11%)*(危旧房屋改造项目分表!$V$6:$V$353&lt;=30%)*危旧房屋改造项目分表!$AF$6:$AF$353),"")</f>
        <v>0</v>
      </c>
      <c r="L11" s="130">
        <f>IFERROR(SUMPRODUCT((危旧房屋改造项目分表!$B$6:$B$353=$L$3)*(危旧房屋改造项目分表!$O$6:$O$353="维修加固")*(危旧房屋改造项目分表!$V$6:$V$353&gt;=11%)*(危旧房屋改造项目分表!$V$6:$V$353&lt;=30%)*危旧房屋改造项目分表!$AF$6:$AF$353),"")</f>
        <v>0</v>
      </c>
      <c r="M11" s="130">
        <f>SUM($D$11:$L$11)</f>
        <v>12</v>
      </c>
      <c r="N11" s="149">
        <f>IF(ISERROR(M11/$M$20),"",M11/$M$20)</f>
        <v>0.0645161290322581</v>
      </c>
    </row>
    <row r="12" ht="14.85" customHeight="1" spans="1:14">
      <c r="A12" s="137"/>
      <c r="B12" s="140"/>
      <c r="C12" s="129" t="s">
        <v>18</v>
      </c>
      <c r="D12" s="130">
        <f>IFERROR(SUMPRODUCT((危旧房屋改造项目分表!$B$6:$B$353=$D$3)*(危旧房屋改造项目分表!$O$6:$O$353="维修加固")*(危旧房屋改造项目分表!$V$6:$V$353&gt;=11%)*(危旧房屋改造项目分表!$V$6:$V$353&lt;=30%)*危旧房屋改造项目分表!$K$6:$K$353),"")</f>
        <v>45</v>
      </c>
      <c r="E12" s="130">
        <f>IFERROR(SUMPRODUCT((危旧房屋改造项目分表!$B$6:$B$353=$E$3)*(危旧房屋改造项目分表!$O$6:$O$353="维修加固")*(危旧房屋改造项目分表!$V$6:$V$353&gt;=11%)*(危旧房屋改造项目分表!$V$6:$V$353&lt;=30%)*危旧房屋改造项目分表!$K$6:$K$353),"")</f>
        <v>0</v>
      </c>
      <c r="F12" s="130">
        <f>IFERROR(SUMPRODUCT((危旧房屋改造项目分表!$B$6:$B$353=$F$3)*(危旧房屋改造项目分表!$O$6:$O$353="维修加固")*(危旧房屋改造项目分表!$V$6:$V$353&gt;=11%)*(危旧房屋改造项目分表!$V$6:$V$353&lt;=30%)*危旧房屋改造项目分表!$K$6:$K$353),"")</f>
        <v>0</v>
      </c>
      <c r="G12" s="130">
        <f>IFERROR(SUMPRODUCT((危旧房屋改造项目分表!$B$6:$B$353=$G$3)*(危旧房屋改造项目分表!$O$6:$O$353="维修加固")*(危旧房屋改造项目分表!$V$6:$V$353&gt;=11%)*(危旧房屋改造项目分表!$V$6:$V$353&lt;=30%)*危旧房屋改造项目分表!$K$6:$K$353),"")</f>
        <v>0</v>
      </c>
      <c r="H12" s="130">
        <f>IFERROR(SUMPRODUCT((危旧房屋改造项目分表!$B$6:$B$353=$H$3)*(危旧房屋改造项目分表!$O$6:$O$353="维修加固")*(危旧房屋改造项目分表!$V$6:$V$353&gt;=11%)*(危旧房屋改造项目分表!$V$6:$V$353&lt;=30%)*危旧房屋改造项目分表!$K$6:$K$353),"")</f>
        <v>0</v>
      </c>
      <c r="I12" s="130">
        <f>IFERROR(SUMPRODUCT((危旧房屋改造项目分表!$B$6:$B$353=$I$3)*(危旧房屋改造项目分表!$O$6:$O$353="维修加固")*(危旧房屋改造项目分表!$V$6:$V$353&gt;=11%)*(危旧房屋改造项目分表!$V$6:$V$353&lt;=30%)*危旧房屋改造项目分表!$K$6:$K$353),"")</f>
        <v>0</v>
      </c>
      <c r="J12" s="130">
        <f>IFERROR(SUMPRODUCT((危旧房屋改造项目分表!$B$6:$B$353=$J$3)*(危旧房屋改造项目分表!$O$6:$O$353="维修加固")*(危旧房屋改造项目分表!$V$6:$V$353&gt;=11%)*(危旧房屋改造项目分表!$V$6:$V$353&lt;=30%)*危旧房屋改造项目分表!$K$6:$K$353),"")</f>
        <v>0</v>
      </c>
      <c r="K12" s="130">
        <f>IFERROR(SUMPRODUCT((危旧房屋改造项目分表!$B$6:$B$353=$K$3)*(危旧房屋改造项目分表!$O$6:$O$353="维修加固")*(危旧房屋改造项目分表!$V$6:$V$353&gt;=11%)*(危旧房屋改造项目分表!$V$6:$V$353&lt;=30%)*危旧房屋改造项目分表!$K$6:$K$353),"")</f>
        <v>0</v>
      </c>
      <c r="L12" s="130">
        <f>IFERROR(SUMPRODUCT((危旧房屋改造项目分表!$B$6:$B$353=$L$3)*(危旧房屋改造项目分表!$O$6:$O$353="维修加固")*(危旧房屋改造项目分表!$V$6:$V$353&gt;=11%)*(危旧房屋改造项目分表!$V$6:$V$353&lt;=30%)*危旧房屋改造项目分表!$K$6:$K$353),"")</f>
        <v>0</v>
      </c>
      <c r="M12" s="130">
        <f>SUM($D$12:$L$12)</f>
        <v>45</v>
      </c>
      <c r="N12" s="149">
        <f>IF(ISERROR(M12/$M$21),"",M12/$M$21)</f>
        <v>0.0290135396518375</v>
      </c>
    </row>
    <row r="13" ht="14.85" customHeight="1" spans="1:14">
      <c r="A13" s="137"/>
      <c r="B13" s="140"/>
      <c r="C13" s="129" t="s">
        <v>19</v>
      </c>
      <c r="D13" s="130">
        <f>IFERROR(SUMPRODUCT((危旧房屋改造项目分表!$B$6:$B$353=$D$3)*(危旧房屋改造项目分表!$O$6:$O$353="维修加固")*(危旧房屋改造项目分表!$V$6:$V$353&gt;=11%)*(危旧房屋改造项目分表!$V$6:$V$353&lt;=30%)*危旧房屋改造项目分表!$L$6:$L$353),"")</f>
        <v>2040.04</v>
      </c>
      <c r="E13" s="130">
        <f>IFERROR(SUMPRODUCT((危旧房屋改造项目分表!$B$6:$B$353=$E$3)*(危旧房屋改造项目分表!$O$6:$O$353="维修加固")*(危旧房屋改造项目分表!$V$6:$V$353&gt;=11%)*(危旧房屋改造项目分表!$V$6:$V$353&lt;=30%)*危旧房屋改造项目分表!$L$6:$L$353),"")</f>
        <v>0</v>
      </c>
      <c r="F13" s="130">
        <f>IFERROR(SUMPRODUCT((危旧房屋改造项目分表!$B$6:$B$353=$F$3)*(危旧房屋改造项目分表!$O$6:$O$353="维修加固")*(危旧房屋改造项目分表!$V$6:$V$353&gt;=11%)*(危旧房屋改造项目分表!$V$6:$V$353&lt;=30%)*危旧房屋改造项目分表!$L$6:$L$353),"")</f>
        <v>0</v>
      </c>
      <c r="G13" s="130">
        <f>IFERROR(SUMPRODUCT((危旧房屋改造项目分表!$B$6:$B$353=$G$3)*(危旧房屋改造项目分表!$O$6:$O$353="维修加固")*(危旧房屋改造项目分表!$V$6:$V$353&gt;=11%)*(危旧房屋改造项目分表!$V$6:$V$353&lt;=30%)*危旧房屋改造项目分表!$L$6:$L$353),"")</f>
        <v>0</v>
      </c>
      <c r="H13" s="130">
        <f>IFERROR(SUMPRODUCT((危旧房屋改造项目分表!$B$6:$B$353=$H$3)*(危旧房屋改造项目分表!$O$6:$O$353="维修加固")*(危旧房屋改造项目分表!$V$6:$V$353&gt;=11%)*(危旧房屋改造项目分表!$V$6:$V$353&lt;=30%)*危旧房屋改造项目分表!$L$6:$L$353),"")</f>
        <v>0</v>
      </c>
      <c r="I13" s="130">
        <f>IFERROR(SUMPRODUCT((危旧房屋改造项目分表!$B$6:$B$353=$I$3)*(危旧房屋改造项目分表!$O$6:$O$353="维修加固")*(危旧房屋改造项目分表!$V$6:$V$353&gt;=11%)*(危旧房屋改造项目分表!$V$6:$V$353&lt;=30%)*危旧房屋改造项目分表!$L$6:$L$353),"")</f>
        <v>0</v>
      </c>
      <c r="J13" s="130">
        <f>IFERROR(SUMPRODUCT((危旧房屋改造项目分表!$B$6:$B$353=$J$3)*(危旧房屋改造项目分表!$O$6:$O$353="维修加固")*(危旧房屋改造项目分表!$V$6:$V$353&gt;=11%)*(危旧房屋改造项目分表!$V$6:$V$353&lt;=30%)*危旧房屋改造项目分表!$L$6:$L$353),"")</f>
        <v>0</v>
      </c>
      <c r="K13" s="130">
        <f>IFERROR(SUMPRODUCT((危旧房屋改造项目分表!$B$6:$B$353=$K$3)*(危旧房屋改造项目分表!$O$6:$O$353="维修加固")*(危旧房屋改造项目分表!$V$6:$V$353&gt;=11%)*(危旧房屋改造项目分表!$V$6:$V$353&lt;=30%)*危旧房屋改造项目分表!$L$6:$L$353),"")</f>
        <v>0</v>
      </c>
      <c r="L13" s="130">
        <f>IFERROR(SUMPRODUCT((危旧房屋改造项目分表!$B$6:$B$353=$L$3)*(危旧房屋改造项目分表!$O$6:$O$353="维修加固")*(危旧房屋改造项目分表!$V$6:$V$353&gt;=11%)*(危旧房屋改造项目分表!$V$6:$V$353&lt;=30%)*危旧房屋改造项目分表!$L$6:$L$353),"")</f>
        <v>0</v>
      </c>
      <c r="M13" s="130">
        <f>SUM($D$13:$L$13)</f>
        <v>2040.04</v>
      </c>
      <c r="N13" s="149">
        <f>IF(ISERROR(M13/$M$22),"",M13/$M$22)</f>
        <v>0.0248809336509249</v>
      </c>
    </row>
    <row r="14" ht="14.85" customHeight="1" spans="1:14">
      <c r="A14" s="137"/>
      <c r="B14" s="140" t="s">
        <v>24</v>
      </c>
      <c r="C14" s="129" t="s">
        <v>17</v>
      </c>
      <c r="D14" s="130">
        <f>IFERROR(SUMPRODUCT((危旧房屋改造项目分表!$B$6:$B$353=$D$3)*(危旧房屋改造项目分表!$O$6:$O$353="维修加固")*(危旧房屋改造项目分表!$V$6:$V$353&gt;=31%)*(危旧房屋改造项目分表!$V$6:$V$353&lt;=89%)*危旧房屋改造项目分表!$AF$6:$AF$353),"")</f>
        <v>4</v>
      </c>
      <c r="E14" s="130">
        <f>IFERROR(SUMPRODUCT((危旧房屋改造项目分表!$B$6:$B$353=$E$3)*(危旧房屋改造项目分表!$O$6:$O$353="维修加固")*(危旧房屋改造项目分表!$V$6:$V$353&gt;=31%)*(危旧房屋改造项目分表!$V$6:$V$353&lt;=89%)*危旧房屋改造项目分表!$AF$6:$AF$353),"")</f>
        <v>0</v>
      </c>
      <c r="F14" s="130">
        <f>IFERROR(SUMPRODUCT((危旧房屋改造项目分表!$B$6:$B$353=$F$3)*(危旧房屋改造项目分表!$O$6:$O$353="维修加固")*(危旧房屋改造项目分表!$V$6:$V$353&gt;=31%)*(危旧房屋改造项目分表!$V$6:$V$353&lt;=89%)*危旧房屋改造项目分表!$AF$6:$AF$353),"")</f>
        <v>0</v>
      </c>
      <c r="G14" s="130">
        <f>IFERROR(SUMPRODUCT((危旧房屋改造项目分表!$B$6:$B$353=$G$3)*(危旧房屋改造项目分表!$O$6:$O$353="维修加固")*(危旧房屋改造项目分表!$V$6:$V$353&gt;=31%)*(危旧房屋改造项目分表!$V$6:$V$353&lt;=89%)*危旧房屋改造项目分表!$AF$6:$AF$353),"")</f>
        <v>0</v>
      </c>
      <c r="H14" s="130">
        <f>IFERROR(SUMPRODUCT((危旧房屋改造项目分表!$B$6:$B$353=$H$3)*(危旧房屋改造项目分表!$O$6:$O$353="维修加固")*(危旧房屋改造项目分表!$V$6:$V$353&gt;=31%)*(危旧房屋改造项目分表!$V$6:$V$353&lt;=89%)*危旧房屋改造项目分表!$AF$6:$AF$353),"")</f>
        <v>0</v>
      </c>
      <c r="I14" s="130">
        <f>IFERROR(SUMPRODUCT((危旧房屋改造项目分表!$B$6:$B$353=$I$3)*(危旧房屋改造项目分表!$O$6:$O$353="维修加固")*(危旧房屋改造项目分表!$V$6:$V$353&gt;=31%)*(危旧房屋改造项目分表!$V$6:$V$353&lt;=89%)*危旧房屋改造项目分表!$AF$6:$AF$353),"")</f>
        <v>0</v>
      </c>
      <c r="J14" s="130">
        <f>IFERROR(SUMPRODUCT((危旧房屋改造项目分表!$B$6:$B$353=$J$3)*(危旧房屋改造项目分表!$O$6:$O$353="维修加固")*(危旧房屋改造项目分表!$V$6:$V$353&gt;=31%)*(危旧房屋改造项目分表!$V$6:$V$353&lt;=89%)*危旧房屋改造项目分表!$AF$6:$AF$353),"")</f>
        <v>0</v>
      </c>
      <c r="K14" s="130">
        <f>IFERROR(SUMPRODUCT((危旧房屋改造项目分表!$B$6:$B$353=$K$3)*(危旧房屋改造项目分表!$O$6:$O$353="维修加固")*(危旧房屋改造项目分表!$V$6:$V$353&gt;=31%)*(危旧房屋改造项目分表!$V$6:$V$353&lt;=89%)*危旧房屋改造项目分表!$AF$6:$AF$353),"")</f>
        <v>0</v>
      </c>
      <c r="L14" s="130">
        <f>IFERROR(SUMPRODUCT((危旧房屋改造项目分表!$B$6:$B$353=$L$3)*(危旧房屋改造项目分表!$O$6:$O$353="维修加固")*(危旧房屋改造项目分表!$V$6:$V$353&gt;=31%)*(危旧房屋改造项目分表!$V$6:$V$353&lt;=89%)*危旧房屋改造项目分表!$AF$6:$AF$353),"")</f>
        <v>0</v>
      </c>
      <c r="M14" s="130">
        <f>SUM($D$14:$L$14)</f>
        <v>4</v>
      </c>
      <c r="N14" s="149">
        <f>IF(ISERROR(M14/$M$20),"",M14/$M$20)</f>
        <v>0.021505376344086</v>
      </c>
    </row>
    <row r="15" ht="14.85" customHeight="1" spans="1:14">
      <c r="A15" s="137"/>
      <c r="B15" s="140"/>
      <c r="C15" s="129" t="s">
        <v>18</v>
      </c>
      <c r="D15" s="130">
        <f>IFERROR(SUMPRODUCT((危旧房屋改造项目分表!$B$6:$B$353=$D$3)*(危旧房屋改造项目分表!$O$6:$O$353="维修加固")*(危旧房屋改造项目分表!$V$6:$V$353&gt;=31%)*(危旧房屋改造项目分表!$V$6:$V$353&lt;=89%)*危旧房屋改造项目分表!$K$6:$K$353),"")</f>
        <v>14</v>
      </c>
      <c r="E15" s="130">
        <f>IFERROR(SUMPRODUCT((危旧房屋改造项目分表!$B$6:$B$353=$E$3)*(危旧房屋改造项目分表!$O$6:$O$353="维修加固")*(危旧房屋改造项目分表!$V$6:$V$353&gt;=31%)*(危旧房屋改造项目分表!$V$6:$V$353&lt;=89%)*危旧房屋改造项目分表!$K$6:$K$353),"")</f>
        <v>0</v>
      </c>
      <c r="F15" s="130">
        <f>IFERROR(SUMPRODUCT((危旧房屋改造项目分表!$B$6:$B$353=$F$3)*(危旧房屋改造项目分表!$O$6:$O$353="维修加固")*(危旧房屋改造项目分表!$V$6:$V$353&gt;=31%)*(危旧房屋改造项目分表!$V$6:$V$353&lt;=89%)*危旧房屋改造项目分表!$K$6:$K$353),"")</f>
        <v>0</v>
      </c>
      <c r="G15" s="130">
        <f>IFERROR(SUMPRODUCT((危旧房屋改造项目分表!$B$6:$B$353=$G$3)*(危旧房屋改造项目分表!$O$6:$O$353="维修加固")*(危旧房屋改造项目分表!$V$6:$V$353&gt;=31%)*(危旧房屋改造项目分表!$V$6:$V$353&lt;=89%)*危旧房屋改造项目分表!$K$6:$K$353),"")</f>
        <v>0</v>
      </c>
      <c r="H15" s="130">
        <f>IFERROR(SUMPRODUCT((危旧房屋改造项目分表!$B$6:$B$353=$H$3)*(危旧房屋改造项目分表!$O$6:$O$353="维修加固")*(危旧房屋改造项目分表!$V$6:$V$353&gt;=31%)*(危旧房屋改造项目分表!$V$6:$V$353&lt;=89%)*危旧房屋改造项目分表!$K$6:$K$353),"")</f>
        <v>0</v>
      </c>
      <c r="I15" s="130">
        <f>IFERROR(SUMPRODUCT((危旧房屋改造项目分表!$B$6:$B$353=$I$3)*(危旧房屋改造项目分表!$O$6:$O$353="维修加固")*(危旧房屋改造项目分表!$V$6:$V$353&gt;=31%)*(危旧房屋改造项目分表!$V$6:$V$353&lt;=89%)*危旧房屋改造项目分表!$K$6:$K$353),"")</f>
        <v>0</v>
      </c>
      <c r="J15" s="130">
        <f>IFERROR(SUMPRODUCT((危旧房屋改造项目分表!$B$6:$B$353=$J$3)*(危旧房屋改造项目分表!$O$6:$O$353="维修加固")*(危旧房屋改造项目分表!$V$6:$V$353&gt;=31%)*(危旧房屋改造项目分表!$V$6:$V$353&lt;=89%)*危旧房屋改造项目分表!$K$6:$K$353),"")</f>
        <v>0</v>
      </c>
      <c r="K15" s="130">
        <f>IFERROR(SUMPRODUCT((危旧房屋改造项目分表!$B$6:$B$353=$K$3)*(危旧房屋改造项目分表!$O$6:$O$353="维修加固")*(危旧房屋改造项目分表!$V$6:$V$353&gt;=31%)*(危旧房屋改造项目分表!$V$6:$V$353&lt;=89%)*危旧房屋改造项目分表!$K$6:$K$353),"")</f>
        <v>0</v>
      </c>
      <c r="L15" s="130">
        <f>IFERROR(SUMPRODUCT((危旧房屋改造项目分表!$B$6:$B$353=$L$3)*(危旧房屋改造项目分表!$O$6:$O$353="维修加固")*(危旧房屋改造项目分表!$V$6:$V$353&gt;=31%)*(危旧房屋改造项目分表!$V$6:$V$353&lt;=89%)*危旧房屋改造项目分表!$K$6:$K$353),"")</f>
        <v>0</v>
      </c>
      <c r="M15" s="130">
        <f>SUM($D$15:$L$15)</f>
        <v>14</v>
      </c>
      <c r="N15" s="149">
        <f>IF(ISERROR(M15/$M$21),"",M15/$M$21)</f>
        <v>0.00902643455834945</v>
      </c>
    </row>
    <row r="16" ht="14.85" customHeight="1" spans="1:14">
      <c r="A16" s="137"/>
      <c r="B16" s="140"/>
      <c r="C16" s="129" t="s">
        <v>19</v>
      </c>
      <c r="D16" s="130">
        <f>IFERROR(SUMPRODUCT((危旧房屋改造项目分表!$B$6:$B$353=$D$3)*(危旧房屋改造项目分表!$O$6:$O$353="维修加固")*(危旧房屋改造项目分表!$V$6:$V$353&gt;=31%)*(危旧房屋改造项目分表!$V$6:$V$353&lt;=89%)*危旧房屋改造项目分表!$L$6:$L$353),"")</f>
        <v>384.5</v>
      </c>
      <c r="E16" s="130">
        <f>IFERROR(SUMPRODUCT((危旧房屋改造项目分表!$B$6:$B$353=$E$3)*(危旧房屋改造项目分表!$O$6:$O$353="维修加固")*(危旧房屋改造项目分表!$V$6:$V$353&gt;=31%)*(危旧房屋改造项目分表!$V$6:$V$353&lt;=89%)*危旧房屋改造项目分表!$L$6:$L$353),"")</f>
        <v>0</v>
      </c>
      <c r="F16" s="130">
        <f>IFERROR(SUMPRODUCT((危旧房屋改造项目分表!$B$6:$B$353=$F$3)*(危旧房屋改造项目分表!$O$6:$O$353="维修加固")*(危旧房屋改造项目分表!$V$6:$V$353&gt;=31%)*(危旧房屋改造项目分表!$V$6:$V$353&lt;=89%)*危旧房屋改造项目分表!$L$6:$L$353),"")</f>
        <v>0</v>
      </c>
      <c r="G16" s="130">
        <f>IFERROR(SUMPRODUCT((危旧房屋改造项目分表!$B$6:$B$353=$G$3)*(危旧房屋改造项目分表!$O$6:$O$353="维修加固")*(危旧房屋改造项目分表!$V$6:$V$353&gt;=31%)*(危旧房屋改造项目分表!$V$6:$V$353&lt;=89%)*危旧房屋改造项目分表!$L$6:$L$353),"")</f>
        <v>0</v>
      </c>
      <c r="H16" s="130">
        <f>IFERROR(SUMPRODUCT((危旧房屋改造项目分表!$B$6:$B$353=$H$3)*(危旧房屋改造项目分表!$O$6:$O$353="维修加固")*(危旧房屋改造项目分表!$V$6:$V$353&gt;=31%)*(危旧房屋改造项目分表!$V$6:$V$353&lt;=89%)*危旧房屋改造项目分表!$L$6:$L$353),"")</f>
        <v>0</v>
      </c>
      <c r="I16" s="130">
        <f>IFERROR(SUMPRODUCT((危旧房屋改造项目分表!$B$6:$B$353=$I$3)*(危旧房屋改造项目分表!$O$6:$O$353="维修加固")*(危旧房屋改造项目分表!$V$6:$V$353&gt;=31%)*(危旧房屋改造项目分表!$V$6:$V$353&lt;=89%)*危旧房屋改造项目分表!$L$6:$L$353),"")</f>
        <v>0</v>
      </c>
      <c r="J16" s="130">
        <f>IFERROR(SUMPRODUCT((危旧房屋改造项目分表!$B$6:$B$353=$J$3)*(危旧房屋改造项目分表!$O$6:$O$353="维修加固")*(危旧房屋改造项目分表!$V$6:$V$353&gt;=31%)*(危旧房屋改造项目分表!$V$6:$V$353&lt;=89%)*危旧房屋改造项目分表!$L$6:$L$353),"")</f>
        <v>0</v>
      </c>
      <c r="K16" s="130">
        <f>IFERROR(SUMPRODUCT((危旧房屋改造项目分表!$B$6:$B$353=$K$3)*(危旧房屋改造项目分表!$O$6:$O$353="维修加固")*(危旧房屋改造项目分表!$V$6:$V$353&gt;=31%)*(危旧房屋改造项目分表!$V$6:$V$353&lt;=89%)*危旧房屋改造项目分表!$L$6:$L$353),"")</f>
        <v>0</v>
      </c>
      <c r="L16" s="130">
        <f>IFERROR(SUMPRODUCT((危旧房屋改造项目分表!$B$6:$B$353=$L$3)*(危旧房屋改造项目分表!$O$6:$O$353="维修加固")*(危旧房屋改造项目分表!$V$6:$V$353&gt;=31%)*(危旧房屋改造项目分表!$V$6:$V$353&lt;=89%)*危旧房屋改造项目分表!$L$6:$L$353),"")</f>
        <v>0</v>
      </c>
      <c r="M16" s="130">
        <f>SUM($D$16:$L$16)</f>
        <v>384.5</v>
      </c>
      <c r="N16" s="149">
        <f>IF(ISERROR(M16/$M$22),"",M16/$M$22)</f>
        <v>0.00468947618124185</v>
      </c>
    </row>
    <row r="17" ht="14.85" customHeight="1" spans="1:14">
      <c r="A17" s="137"/>
      <c r="B17" s="140" t="s">
        <v>25</v>
      </c>
      <c r="C17" s="129" t="s">
        <v>17</v>
      </c>
      <c r="D17" s="130">
        <f>IFERROR(SUMPRODUCT((危旧房屋改造项目分表!$B$6:$B$353=$D$3)*(危旧房屋改造项目分表!$O$6:$O$353="维修加固")*(危旧房屋改造项目分表!$V$6:$V$353&gt;=90%)*危旧房屋改造项目分表!$AF$6:$AF$353),"")</f>
        <v>9</v>
      </c>
      <c r="E17" s="130">
        <f>IFERROR(SUMPRODUCT((危旧房屋改造项目分表!$B$6:$B$353=$E$3)*(危旧房屋改造项目分表!$O$6:$O$353="维修加固")*(危旧房屋改造项目分表!$V$6:$V$353&gt;=90%)*危旧房屋改造项目分表!$AF$6:$AF$353),"")</f>
        <v>0</v>
      </c>
      <c r="F17" s="130">
        <f>IFERROR(SUMPRODUCT((危旧房屋改造项目分表!$B$6:$B$353=$F$3)*(危旧房屋改造项目分表!$O$6:$O$353="维修加固")*(危旧房屋改造项目分表!$V$6:$V$353&gt;=90%)*危旧房屋改造项目分表!$AF$6:$AF$353),"")</f>
        <v>0</v>
      </c>
      <c r="G17" s="130">
        <f>IFERROR(SUMPRODUCT((危旧房屋改造项目分表!$B$6:$B$353=$G$3)*(危旧房屋改造项目分表!$O$6:$O$353="维修加固")*(危旧房屋改造项目分表!$V$6:$V$353&gt;=90%)*危旧房屋改造项目分表!$AF$6:$AF$353),"")</f>
        <v>0</v>
      </c>
      <c r="H17" s="130">
        <f>IFERROR(SUMPRODUCT((危旧房屋改造项目分表!$B$6:$B$353=$H$3)*(危旧房屋改造项目分表!$O$6:$O$353="维修加固")*(危旧房屋改造项目分表!$V$6:$V$353&gt;=90%)*危旧房屋改造项目分表!$AF$6:$AF$353),"")</f>
        <v>0</v>
      </c>
      <c r="I17" s="130">
        <f>IFERROR(SUMPRODUCT((危旧房屋改造项目分表!$B$6:$B$353=$I$3)*(危旧房屋改造项目分表!$O$6:$O$353="维修加固")*(危旧房屋改造项目分表!$V$6:$V$353&gt;=90%)*危旧房屋改造项目分表!$AF$6:$AF$353),"")</f>
        <v>0</v>
      </c>
      <c r="J17" s="130">
        <f>IFERROR(SUMPRODUCT((危旧房屋改造项目分表!$B$6:$B$353=$J$3)*(危旧房屋改造项目分表!$O$6:$O$353="维修加固")*(危旧房屋改造项目分表!$V$6:$V$353&gt;=90%)*危旧房屋改造项目分表!$AF$6:$AF$353),"")</f>
        <v>0</v>
      </c>
      <c r="K17" s="130">
        <f>IFERROR(SUMPRODUCT((危旧房屋改造项目分表!$B$6:$B$353=$K$3)*(危旧房屋改造项目分表!$O$6:$O$353="维修加固")*(危旧房屋改造项目分表!$V$6:$V$353&gt;=90%)*危旧房屋改造项目分表!$AF$6:$AF$353),"")</f>
        <v>0</v>
      </c>
      <c r="L17" s="130">
        <f>IFERROR(SUMPRODUCT((危旧房屋改造项目分表!$B$6:$B$353=$L$3)*(危旧房屋改造项目分表!$O$6:$O$353="维修加固")*(危旧房屋改造项目分表!$V$6:$V$353&gt;=90%)*危旧房屋改造项目分表!$AF$6:$AF$353),"")</f>
        <v>0</v>
      </c>
      <c r="M17" s="130">
        <f>SUM($D$17:$L$17)</f>
        <v>9</v>
      </c>
      <c r="N17" s="149">
        <f>IF(ISERROR(M17/$M$20),"",M17/$M$20)</f>
        <v>0.0483870967741935</v>
      </c>
    </row>
    <row r="18" ht="14.85" customHeight="1" spans="1:14">
      <c r="A18" s="137"/>
      <c r="B18" s="140"/>
      <c r="C18" s="129" t="s">
        <v>18</v>
      </c>
      <c r="D18" s="130">
        <f>IFERROR(SUMPRODUCT((危旧房屋改造项目分表!$B$6:$B$353=$D$3)*(危旧房屋改造项目分表!$O$6:$O$353="维修加固")*(危旧房屋改造项目分表!$V$6:$V$353&gt;=90%)*危旧房屋改造项目分表!$K$6:$K$353),"")</f>
        <v>12</v>
      </c>
      <c r="E18" s="130">
        <f>IFERROR(SUMPRODUCT((危旧房屋改造项目分表!$B$6:$B$353=$E$3)*(危旧房屋改造项目分表!$O$6:$O$353="维修加固")*(危旧房屋改造项目分表!$V$6:$V$353&gt;=90%)*危旧房屋改造项目分表!$K$6:$K$353),"")</f>
        <v>0</v>
      </c>
      <c r="F18" s="130">
        <f>IFERROR(SUMPRODUCT((危旧房屋改造项目分表!$B$6:$B$353=$F$3)*(危旧房屋改造项目分表!$O$6:$O$353="维修加固")*(危旧房屋改造项目分表!$V$6:$V$353&gt;=90%)*危旧房屋改造项目分表!$K$6:$K$353),"")</f>
        <v>0</v>
      </c>
      <c r="G18" s="130">
        <f>IFERROR(SUMPRODUCT((危旧房屋改造项目分表!$B$6:$B$353=$G$3)*(危旧房屋改造项目分表!$O$6:$O$353="维修加固")*(危旧房屋改造项目分表!$V$6:$V$353&gt;=90%)*危旧房屋改造项目分表!$K$6:$K$353),"")</f>
        <v>0</v>
      </c>
      <c r="H18" s="130">
        <f>IFERROR(SUMPRODUCT((危旧房屋改造项目分表!$B$6:$B$353=$H$3)*(危旧房屋改造项目分表!$O$6:$O$353="维修加固")*(危旧房屋改造项目分表!$V$6:$V$353&gt;=90%)*危旧房屋改造项目分表!$K$6:$K$353),"")</f>
        <v>0</v>
      </c>
      <c r="I18" s="130">
        <f>IFERROR(SUMPRODUCT((危旧房屋改造项目分表!$B$6:$B$353=$I$3)*(危旧房屋改造项目分表!$O$6:$O$353="维修加固")*(危旧房屋改造项目分表!$V$6:$V$353&gt;=90%)*危旧房屋改造项目分表!$K$6:$K$353),"")</f>
        <v>0</v>
      </c>
      <c r="J18" s="130">
        <f>IFERROR(SUMPRODUCT((危旧房屋改造项目分表!$B$6:$B$353=$J$3)*(危旧房屋改造项目分表!$O$6:$O$353="维修加固")*(危旧房屋改造项目分表!$V$6:$V$353&gt;=90%)*危旧房屋改造项目分表!$K$6:$K$353),"")</f>
        <v>0</v>
      </c>
      <c r="K18" s="130">
        <f>IFERROR(SUMPRODUCT((危旧房屋改造项目分表!$B$6:$B$353=$K$3)*(危旧房屋改造项目分表!$O$6:$O$353="维修加固")*(危旧房屋改造项目分表!$V$6:$V$353&gt;=90%)*危旧房屋改造项目分表!$K$6:$K$353),"")</f>
        <v>0</v>
      </c>
      <c r="L18" s="130">
        <f>IFERROR(SUMPRODUCT((危旧房屋改造项目分表!$B$6:$B$353=$L$3)*(危旧房屋改造项目分表!$O$6:$O$353="维修加固")*(危旧房屋改造项目分表!$V$6:$V$353&gt;=90%)*危旧房屋改造项目分表!$K$6:$K$353),"")</f>
        <v>0</v>
      </c>
      <c r="M18" s="130">
        <f>SUM($D$18:$L$18)</f>
        <v>12</v>
      </c>
      <c r="N18" s="149">
        <f>IF(ISERROR(M18/$M$21),"",M18/$M$21)</f>
        <v>0.00773694390715667</v>
      </c>
    </row>
    <row r="19" ht="14.85" customHeight="1" spans="1:14">
      <c r="A19" s="137"/>
      <c r="B19" s="140"/>
      <c r="C19" s="129" t="s">
        <v>19</v>
      </c>
      <c r="D19" s="130">
        <f>IFERROR(SUMPRODUCT((危旧房屋改造项目分表!$B$6:$B$353=$D$3)*(危旧房屋改造项目分表!$O$6:$O$353="维修加固")*(危旧房屋改造项目分表!$V$6:$V$353&gt;=90%)*危旧房屋改造项目分表!$L$6:$L$353),"")</f>
        <v>862.88</v>
      </c>
      <c r="E19" s="130">
        <f>IFERROR(SUMPRODUCT((危旧房屋改造项目分表!$B$6:$B$353=$E$3)*(危旧房屋改造项目分表!$O$6:$O$353="维修加固")*(危旧房屋改造项目分表!$V$6:$V$353&gt;=90%)*危旧房屋改造项目分表!$L$6:$L$353),"")</f>
        <v>0</v>
      </c>
      <c r="F19" s="130">
        <f>IFERROR(SUMPRODUCT((危旧房屋改造项目分表!$B$6:$B$353=$F$3)*(危旧房屋改造项目分表!$O$6:$O$353="维修加固")*(危旧房屋改造项目分表!$V$6:$V$353&gt;=90%)*危旧房屋改造项目分表!$L$6:$L$353),"")</f>
        <v>0</v>
      </c>
      <c r="G19" s="130">
        <f>IFERROR(SUMPRODUCT((危旧房屋改造项目分表!$B$6:$B$353=$G$3)*(危旧房屋改造项目分表!$O$6:$O$353="维修加固")*(危旧房屋改造项目分表!$V$6:$V$353&gt;=90%)*危旧房屋改造项目分表!$L$6:$L$353),"")</f>
        <v>0</v>
      </c>
      <c r="H19" s="130">
        <f>IFERROR(SUMPRODUCT((危旧房屋改造项目分表!$B$6:$B$353=$H$3)*(危旧房屋改造项目分表!$O$6:$O$353="维修加固")*(危旧房屋改造项目分表!$V$6:$V$353&gt;=90%)*危旧房屋改造项目分表!$L$6:$L$353),"")</f>
        <v>0</v>
      </c>
      <c r="I19" s="130">
        <f>IFERROR(SUMPRODUCT((危旧房屋改造项目分表!$B$6:$B$353=$I$3)*(危旧房屋改造项目分表!$O$6:$O$353="维修加固")*(危旧房屋改造项目分表!$V$6:$V$353&gt;=90%)*危旧房屋改造项目分表!$L$6:$L$353),"")</f>
        <v>0</v>
      </c>
      <c r="J19" s="130">
        <f>IFERROR(SUMPRODUCT((危旧房屋改造项目分表!$B$6:$B$353=$J$3)*(危旧房屋改造项目分表!$O$6:$O$353="维修加固")*(危旧房屋改造项目分表!$V$6:$V$353&gt;=90%)*危旧房屋改造项目分表!$L$6:$L$353),"")</f>
        <v>0</v>
      </c>
      <c r="K19" s="130">
        <f>IFERROR(SUMPRODUCT((危旧房屋改造项目分表!$B$6:$B$353=$K$3)*(危旧房屋改造项目分表!$O$6:$O$353="维修加固")*(危旧房屋改造项目分表!$V$6:$V$353&gt;=90%)*危旧房屋改造项目分表!$L$6:$L$353),"")</f>
        <v>0</v>
      </c>
      <c r="L19" s="130">
        <f>IFERROR(SUMPRODUCT((危旧房屋改造项目分表!$B$6:$B$353=$L$3)*(危旧房屋改造项目分表!$O$6:$O$353="维修加固")*(危旧房屋改造项目分表!$V$6:$V$353&gt;=90%)*危旧房屋改造项目分表!$L$6:$L$353),"")</f>
        <v>0</v>
      </c>
      <c r="M19" s="130">
        <f>SUM($D$19:$L$19)</f>
        <v>862.88</v>
      </c>
      <c r="N19" s="149">
        <f>IF(ISERROR(M19/$M$22),"",M19/$M$22)</f>
        <v>0.0105239407211183</v>
      </c>
    </row>
    <row r="20" ht="14.85" customHeight="1" spans="1:14">
      <c r="A20" s="137"/>
      <c r="B20" s="140" t="s">
        <v>26</v>
      </c>
      <c r="C20" s="129" t="s">
        <v>17</v>
      </c>
      <c r="D20" s="141">
        <f>$D$11+$D$14+$D$17+$D$8</f>
        <v>27</v>
      </c>
      <c r="E20" s="141">
        <f>$E$11+$E$14+$E$17+$E$8</f>
        <v>81</v>
      </c>
      <c r="F20" s="141">
        <f>$F$11+$F$14+$F$17+$F$8</f>
        <v>10</v>
      </c>
      <c r="G20" s="141">
        <f>$G$11+$G$14+$G$17+$G$8</f>
        <v>63</v>
      </c>
      <c r="H20" s="141">
        <f>$H$11+$H$14+$H$17+$H$8</f>
        <v>5</v>
      </c>
      <c r="I20" s="141">
        <f>$I$11+$I$14+$I$17+$I$8</f>
        <v>0</v>
      </c>
      <c r="J20" s="141">
        <f>$J$11+$J$14+$J$17+$J$8</f>
        <v>0</v>
      </c>
      <c r="K20" s="141">
        <f>$K$11+$K$14+$K$17+$K$8</f>
        <v>0</v>
      </c>
      <c r="L20" s="141">
        <f>$L$11+$L$14+$L$17+$L$8</f>
        <v>0</v>
      </c>
      <c r="M20" s="130">
        <f>SUM($D$20:$L$20)</f>
        <v>186</v>
      </c>
      <c r="N20" s="149">
        <f>IF(ISERROR(M20/$M$4),"",M20/$M$4)</f>
        <v>0.53448275862069</v>
      </c>
    </row>
    <row r="21" ht="14.85" customHeight="1" spans="1:14">
      <c r="A21" s="137"/>
      <c r="B21" s="140"/>
      <c r="C21" s="129" t="s">
        <v>18</v>
      </c>
      <c r="D21" s="141">
        <f t="shared" ref="D21:L21" si="0">D12+D15+D18+D9</f>
        <v>108</v>
      </c>
      <c r="E21" s="141">
        <f t="shared" si="0"/>
        <v>479</v>
      </c>
      <c r="F21" s="141">
        <f t="shared" si="0"/>
        <v>165</v>
      </c>
      <c r="G21" s="141">
        <f t="shared" si="0"/>
        <v>649</v>
      </c>
      <c r="H21" s="141">
        <f t="shared" si="0"/>
        <v>150</v>
      </c>
      <c r="I21" s="141">
        <f t="shared" si="0"/>
        <v>0</v>
      </c>
      <c r="J21" s="141">
        <f t="shared" si="0"/>
        <v>0</v>
      </c>
      <c r="K21" s="141">
        <f t="shared" si="0"/>
        <v>0</v>
      </c>
      <c r="L21" s="141">
        <f t="shared" si="0"/>
        <v>0</v>
      </c>
      <c r="M21" s="130">
        <f>SUM($D$21:$L$21)</f>
        <v>1551</v>
      </c>
      <c r="N21" s="149">
        <f>IF(ISERROR(M21/$M$5),"",M21/$M$5)</f>
        <v>0.429401993355482</v>
      </c>
    </row>
    <row r="22" ht="14.85" customHeight="1" spans="1:14">
      <c r="A22" s="142"/>
      <c r="B22" s="140"/>
      <c r="C22" s="129" t="s">
        <v>19</v>
      </c>
      <c r="D22" s="143">
        <f t="shared" ref="D22:L22" si="1">D13+D16+D19+D10</f>
        <v>5752.31</v>
      </c>
      <c r="E22" s="143">
        <f t="shared" si="1"/>
        <v>20338.32</v>
      </c>
      <c r="F22" s="143">
        <f t="shared" si="1"/>
        <v>7978.06</v>
      </c>
      <c r="G22" s="143">
        <f t="shared" si="1"/>
        <v>39413.01</v>
      </c>
      <c r="H22" s="143">
        <f t="shared" si="1"/>
        <v>8510.4</v>
      </c>
      <c r="I22" s="143">
        <f t="shared" si="1"/>
        <v>0</v>
      </c>
      <c r="J22" s="143">
        <f t="shared" si="1"/>
        <v>0</v>
      </c>
      <c r="K22" s="143">
        <f t="shared" si="1"/>
        <v>0</v>
      </c>
      <c r="L22" s="143">
        <f t="shared" si="1"/>
        <v>0</v>
      </c>
      <c r="M22" s="130">
        <f>SUM($D$22:$L$22)</f>
        <v>81992.1</v>
      </c>
      <c r="N22" s="149">
        <f>IF(ISERROR(M22/$M$6),"",M22/$M$6)</f>
        <v>0.467572251292748</v>
      </c>
    </row>
    <row r="23" ht="14.85" customHeight="1" spans="1:14">
      <c r="A23" s="135" t="s">
        <v>27</v>
      </c>
      <c r="B23" s="140" t="s">
        <v>22</v>
      </c>
      <c r="C23" s="129" t="s">
        <v>17</v>
      </c>
      <c r="D23" s="130">
        <f>IFERROR(SUMPRODUCT((危旧房屋改造项目分表!$B$6:$B$353=$D$3)*(危旧房屋改造项目分表!$O$6:$O$353="原址重建")*(危旧房屋改造项目分表!$V$6:$V$353&lt;=10%)*危旧房屋改造项目分表!$AF$6:$AF$353),"")</f>
        <v>5</v>
      </c>
      <c r="E23" s="130">
        <f>IFERROR(SUMPRODUCT((危旧房屋改造项目分表!$B$6:$B$353=$E$3)*(危旧房屋改造项目分表!$O$6:$O$353="原址重建")*(危旧房屋改造项目分表!$V$6:$V$353&lt;=10%)*危旧房屋改造项目分表!$AF$6:$AF$353),"")</f>
        <v>38</v>
      </c>
      <c r="F23" s="130">
        <f>IFERROR(SUMPRODUCT((危旧房屋改造项目分表!$B$6:$B$353=$F$3)*(危旧房屋改造项目分表!$O$6:$O$353="原址重建")*(危旧房屋改造项目分表!$V$6:$V$353&lt;=10%)*危旧房屋改造项目分表!$AF$6:$AF$353),"")</f>
        <v>0</v>
      </c>
      <c r="G23" s="130">
        <f>IFERROR(SUMPRODUCT((危旧房屋改造项目分表!$B$6:$B$353=$G$3)*(危旧房屋改造项目分表!$O$6:$O$353="原址重建")*(危旧房屋改造项目分表!$V$6:$V$353&lt;=10%)*危旧房屋改造项目分表!$AF$6:$AF$353),"")</f>
        <v>27</v>
      </c>
      <c r="H23" s="130">
        <f>IFERROR(SUMPRODUCT((危旧房屋改造项目分表!$B$6:$B$353=$H$3)*(危旧房屋改造项目分表!$O$6:$O$353="原址重建")*(危旧房屋改造项目分表!$V$6:$V$353&lt;=10%)*危旧房屋改造项目分表!$AF$6:$AF$353),"")</f>
        <v>5</v>
      </c>
      <c r="I23" s="130">
        <f>IFERROR(SUMPRODUCT((危旧房屋改造项目分表!$B$6:$B$353=$I$3)*(危旧房屋改造项目分表!$O$6:$O$353="原址重建")*(危旧房屋改造项目分表!$V$6:$V$353&lt;=10%)*危旧房屋改造项目分表!$AF$6:$AF$353),"")</f>
        <v>2</v>
      </c>
      <c r="J23" s="130">
        <f>IFERROR(SUMPRODUCT((危旧房屋改造项目分表!$B$6:$B$353=$J$3)*(危旧房屋改造项目分表!$O$6:$O$353="原址重建")*(危旧房屋改造项目分表!$V$6:$V$353&lt;=10%)*危旧房屋改造项目分表!$AF$6:$AF$353),"")</f>
        <v>0</v>
      </c>
      <c r="K23" s="130">
        <f>IFERROR(SUMPRODUCT((危旧房屋改造项目分表!$B$6:$B$353=$K$3)*(危旧房屋改造项目分表!$O$6:$O$353="原址重建")*(危旧房屋改造项目分表!$V$6:$V$353&lt;=10%)*危旧房屋改造项目分表!$AF$6:$AF$353),"")</f>
        <v>0</v>
      </c>
      <c r="L23" s="130">
        <f>IFERROR(SUMPRODUCT((危旧房屋改造项目分表!$B$6:$B$353=$L$3)*(危旧房屋改造项目分表!$O$6:$O$353="原址重建")*(危旧房屋改造项目分表!$V$6:$V$353&lt;=10%)*危旧房屋改造项目分表!$AF$6:$AF$353),"")</f>
        <v>0</v>
      </c>
      <c r="M23" s="130">
        <f>SUM($D$23:$L$23)</f>
        <v>77</v>
      </c>
      <c r="N23" s="149">
        <f>IF(ISERROR(M23/$M$35),"",M23/$M$35)</f>
        <v>0.865168539325843</v>
      </c>
    </row>
    <row r="24" ht="14.85" customHeight="1" spans="1:14">
      <c r="A24" s="137"/>
      <c r="B24" s="140"/>
      <c r="C24" s="129" t="s">
        <v>18</v>
      </c>
      <c r="D24" s="130">
        <f>IFERROR(SUMPRODUCT((危旧房屋改造项目分表!$B$6:$B$353=$D$3)*(危旧房屋改造项目分表!$O$6:$O$353="原址重建")*(危旧房屋改造项目分表!$V$6:$V$353&lt;=10%)*危旧房屋改造项目分表!$K$6:$K$353),"")</f>
        <v>34</v>
      </c>
      <c r="E24" s="130">
        <f>IFERROR(SUMPRODUCT((危旧房屋改造项目分表!$B$6:$B$353=$E$3)*(危旧房屋改造项目分表!$O$6:$O$353="原址重建")*(危旧房屋改造项目分表!$V$6:$V$353&lt;=10%)*危旧房屋改造项目分表!$K$6:$K$353),"")</f>
        <v>304</v>
      </c>
      <c r="F24" s="130">
        <f>IFERROR(SUMPRODUCT((危旧房屋改造项目分表!$B$6:$B$353=$F$3)*(危旧房屋改造项目分表!$O$6:$O$353="原址重建")*(危旧房屋改造项目分表!$V$6:$V$353&lt;=10%)*危旧房屋改造项目分表!$K$6:$K$353),"")</f>
        <v>0</v>
      </c>
      <c r="G24" s="130">
        <f>IFERROR(SUMPRODUCT((危旧房屋改造项目分表!$B$6:$B$353=$G$3)*(危旧房屋改造项目分表!$O$6:$O$353="原址重建")*(危旧房屋改造项目分表!$V$6:$V$353&lt;=10%)*危旧房屋改造项目分表!$K$6:$K$353),"")</f>
        <v>159</v>
      </c>
      <c r="H24" s="130">
        <f>IFERROR(SUMPRODUCT((危旧房屋改造项目分表!$B$6:$B$353=$H$3)*(危旧房屋改造项目分表!$O$6:$O$353="原址重建")*(危旧房屋改造项目分表!$V$6:$V$353&lt;=10%)*危旧房屋改造项目分表!$K$6:$K$353),"")</f>
        <v>172</v>
      </c>
      <c r="I24" s="130">
        <f>IFERROR(SUMPRODUCT((危旧房屋改造项目分表!$B$6:$B$353=$I$3)*(危旧房屋改造项目分表!$O$6:$O$353="原址重建")*(危旧房屋改造项目分表!$V$6:$V$353&lt;=10%)*危旧房屋改造项目分表!$K$6:$K$353),"")</f>
        <v>26</v>
      </c>
      <c r="J24" s="130">
        <f>IFERROR(SUMPRODUCT((危旧房屋改造项目分表!$B$6:$B$353=$J$3)*(危旧房屋改造项目分表!$O$6:$O$353="原址重建")*(危旧房屋改造项目分表!$V$6:$V$353&lt;=10%)*危旧房屋改造项目分表!$K$6:$K$353),"")</f>
        <v>0</v>
      </c>
      <c r="K24" s="130">
        <f>IFERROR(SUMPRODUCT((危旧房屋改造项目分表!$B$6:$B$353=$K$3)*(危旧房屋改造项目分表!$O$6:$O$353="原址重建")*(危旧房屋改造项目分表!$V$6:$V$353&lt;=10%)*危旧房屋改造项目分表!$K$6:$K$353),"")</f>
        <v>0</v>
      </c>
      <c r="L24" s="130">
        <f>IFERROR(SUMPRODUCT((危旧房屋改造项目分表!$B$6:$B$353=$L$3)*(危旧房屋改造项目分表!$O$6:$O$353="原址重建")*(危旧房屋改造项目分表!$V$6:$V$353&lt;=10%)*危旧房屋改造项目分表!$K$6:$K$353),"")</f>
        <v>0</v>
      </c>
      <c r="M24" s="130">
        <f>SUM($D$24:$L$24)</f>
        <v>695</v>
      </c>
      <c r="N24" s="149">
        <f>IF(ISERROR(M24/$M$36),"",M24/$M$36)</f>
        <v>0.952054794520548</v>
      </c>
    </row>
    <row r="25" ht="14.85" customHeight="1" spans="1:14">
      <c r="A25" s="137"/>
      <c r="B25" s="140"/>
      <c r="C25" s="129" t="s">
        <v>19</v>
      </c>
      <c r="D25" s="130">
        <f>IFERROR(SUMPRODUCT((危旧房屋改造项目分表!$B$6:$B$353=$D$3)*(危旧房屋改造项目分表!$O$6:$O$353="原址重建")*(危旧房屋改造项目分表!$V$6:$V$353&lt;=10%)*危旧房屋改造项目分表!$L$6:$L$353),"")</f>
        <v>1727.8</v>
      </c>
      <c r="E25" s="130">
        <f>IFERROR(SUMPRODUCT((危旧房屋改造项目分表!$B$6:$B$353=$E$3)*(危旧房屋改造项目分表!$O$6:$O$353="原址重建")*(危旧房屋改造项目分表!$V$6:$V$353&lt;=10%)*危旧房屋改造项目分表!$L$6:$L$353),"")</f>
        <v>15811.41</v>
      </c>
      <c r="F25" s="130">
        <f>IFERROR(SUMPRODUCT((危旧房屋改造项目分表!$B$6:$B$353=$F$3)*(危旧房屋改造项目分表!$O$6:$O$353="原址重建")*(危旧房屋改造项目分表!$V$6:$V$353&lt;=10%)*危旧房屋改造项目分表!$L$6:$L$353),"")</f>
        <v>0</v>
      </c>
      <c r="G25" s="130">
        <f>IFERROR(SUMPRODUCT((危旧房屋改造项目分表!$B$6:$B$353=$G$3)*(危旧房屋改造项目分表!$O$6:$O$353="原址重建")*(危旧房屋改造项目分表!$V$6:$V$353&lt;=10%)*危旧房屋改造项目分表!$L$6:$L$353),"")</f>
        <v>6549.5</v>
      </c>
      <c r="H25" s="130">
        <f>IFERROR(SUMPRODUCT((危旧房屋改造项目分表!$B$6:$B$353=$H$3)*(危旧房屋改造项目分表!$O$6:$O$353="原址重建")*(危旧房屋改造项目分表!$V$6:$V$353&lt;=10%)*危旧房屋改造项目分表!$L$6:$L$353),"")</f>
        <v>11067.15</v>
      </c>
      <c r="I25" s="130">
        <f>IFERROR(SUMPRODUCT((危旧房屋改造项目分表!$B$6:$B$353=$I$3)*(危旧房屋改造项目分表!$O$6:$O$353="原址重建")*(危旧房屋改造项目分表!$V$6:$V$353&lt;=10%)*危旧房屋改造项目分表!$L$6:$L$353),"")</f>
        <v>1327</v>
      </c>
      <c r="J25" s="130">
        <f>IFERROR(SUMPRODUCT((危旧房屋改造项目分表!$B$6:$B$353=$J$3)*(危旧房屋改造项目分表!$O$6:$O$353="原址重建")*(危旧房屋改造项目分表!$V$6:$V$353&lt;=10%)*危旧房屋改造项目分表!$L$6:$L$353),"")</f>
        <v>0</v>
      </c>
      <c r="K25" s="130">
        <f>IFERROR(SUMPRODUCT((危旧房屋改造项目分表!$B$6:$B$353=$K$3)*(危旧房屋改造项目分表!$O$6:$O$353="原址重建")*(危旧房屋改造项目分表!$V$6:$V$353&lt;=10%)*危旧房屋改造项目分表!$L$6:$L$353),"")</f>
        <v>0</v>
      </c>
      <c r="L25" s="130">
        <f>IFERROR(SUMPRODUCT((危旧房屋改造项目分表!$B$6:$B$353=$L$3)*(危旧房屋改造项目分表!$O$6:$O$353="原址重建")*(危旧房屋改造项目分表!$V$6:$V$353&lt;=10%)*危旧房屋改造项目分表!$L$6:$L$353),"")</f>
        <v>0</v>
      </c>
      <c r="M25" s="130">
        <f>SUM($D$25:$L$25)</f>
        <v>36482.86</v>
      </c>
      <c r="N25" s="149">
        <f>IF(ISERROR(M25/$M$37),"",M25/$M$37)</f>
        <v>0.961934327816707</v>
      </c>
    </row>
    <row r="26" ht="14.85" customHeight="1" spans="1:14">
      <c r="A26" s="137"/>
      <c r="B26" s="140" t="s">
        <v>23</v>
      </c>
      <c r="C26" s="129" t="s">
        <v>17</v>
      </c>
      <c r="D26" s="130">
        <f>IFERROR(SUMPRODUCT((危旧房屋改造项目分表!$B$6:$B$353=$D$3)*(危旧房屋改造项目分表!$O$6:$O$353="原址重建")*(危旧房屋改造项目分表!$V$6:$V$353&gt;=11%)*(危旧房屋改造项目分表!$V$6:$V$353&lt;=30%)*危旧房屋改造项目分表!$AF$6:$AF$353),"")</f>
        <v>8</v>
      </c>
      <c r="E26" s="130">
        <f>IFERROR(SUMPRODUCT((危旧房屋改造项目分表!$B$6:$B$353=$E$3)*(危旧房屋改造项目分表!$O$6:$O$353="原址重建")*(危旧房屋改造项目分表!$V$6:$V$353&gt;=11%)*(危旧房屋改造项目分表!$V$6:$V$353&lt;=30%)*危旧房屋改造项目分表!$AF$6:$AF$353),"")</f>
        <v>0</v>
      </c>
      <c r="F26" s="130">
        <f>IFERROR(SUMPRODUCT((危旧房屋改造项目分表!$B$6:$B$353=$F$3)*(危旧房屋改造项目分表!$O$6:$O$353="原址重建")*(危旧房屋改造项目分表!$V$6:$V$353&gt;=11%)*(危旧房屋改造项目分表!$V$6:$V$353&lt;=30%)*危旧房屋改造项目分表!$AF$6:$AF$353),"")</f>
        <v>0</v>
      </c>
      <c r="G26" s="130">
        <f>IFERROR(SUMPRODUCT((危旧房屋改造项目分表!$B$6:$B$353=$G$3)*(危旧房屋改造项目分表!$O$6:$O$353="原址重建")*(危旧房屋改造项目分表!$V$6:$V$353&gt;=11%)*(危旧房屋改造项目分表!$V$6:$V$353&lt;=30%)*危旧房屋改造项目分表!$AF$6:$AF$353),"")</f>
        <v>0</v>
      </c>
      <c r="H26" s="130">
        <f>IFERROR(SUMPRODUCT((危旧房屋改造项目分表!$B$6:$B$353=$H$3)*(危旧房屋改造项目分表!$O$6:$O$353="原址重建")*(危旧房屋改造项目分表!$V$6:$V$353&gt;=11%)*(危旧房屋改造项目分表!$V$6:$V$353&lt;=30%)*危旧房屋改造项目分表!$AF$6:$AF$353),"")</f>
        <v>0</v>
      </c>
      <c r="I26" s="130">
        <f>IFERROR(SUMPRODUCT((危旧房屋改造项目分表!$B$6:$B$353=$I$3)*(危旧房屋改造项目分表!$O$6:$O$353="原址重建")*(危旧房屋改造项目分表!$V$6:$V$353&gt;=11%)*(危旧房屋改造项目分表!$V$6:$V$353&lt;=30%)*危旧房屋改造项目分表!$AF$6:$AF$353),"")</f>
        <v>0</v>
      </c>
      <c r="J26" s="130">
        <f>IFERROR(SUMPRODUCT((危旧房屋改造项目分表!$B$6:$B$353=$J$3)*(危旧房屋改造项目分表!$O$6:$O$353="原址重建")*(危旧房屋改造项目分表!$V$6:$V$353&gt;=11%)*(危旧房屋改造项目分表!$V$6:$V$353&lt;=30%)*危旧房屋改造项目分表!$AF$6:$AF$353),"")</f>
        <v>0</v>
      </c>
      <c r="K26" s="130">
        <f>IFERROR(SUMPRODUCT((危旧房屋改造项目分表!$B$6:$B$353=$K$3)*(危旧房屋改造项目分表!$O$6:$O$353="原址重建")*(危旧房屋改造项目分表!$V$6:$V$353&gt;=11%)*(危旧房屋改造项目分表!$V$6:$V$353&lt;=30%)*危旧房屋改造项目分表!$AF$6:$AF$353),"")</f>
        <v>0</v>
      </c>
      <c r="L26" s="130">
        <f>IFERROR(SUMPRODUCT((危旧房屋改造项目分表!$B$6:$B$353=$L$3)*(危旧房屋改造项目分表!$O$6:$O$353="原址重建")*(危旧房屋改造项目分表!$V$6:$V$353&gt;=11%)*(危旧房屋改造项目分表!$V$6:$V$353&lt;=30%)*危旧房屋改造项目分表!$AF$6:$AF$353),"")</f>
        <v>0</v>
      </c>
      <c r="M26" s="130">
        <f>SUM($D$26:$L$26)</f>
        <v>8</v>
      </c>
      <c r="N26" s="149">
        <f>IF(ISERROR(M26/$M$35),"",M26/$M$35)</f>
        <v>0.0898876404494382</v>
      </c>
    </row>
    <row r="27" ht="14.85" customHeight="1" spans="1:14">
      <c r="A27" s="137"/>
      <c r="B27" s="140"/>
      <c r="C27" s="129" t="s">
        <v>18</v>
      </c>
      <c r="D27" s="130">
        <f>IFERROR(SUMPRODUCT((危旧房屋改造项目分表!$B$6:$B$353=$D$3)*(危旧房屋改造项目分表!$O$6:$O$353="原址重建")*(危旧房屋改造项目分表!$V$6:$V$353&gt;=11%)*(危旧房屋改造项目分表!$V$6:$V$353&lt;=30%)*危旧房屋改造项目分表!$K$6:$K$353),"")</f>
        <v>30</v>
      </c>
      <c r="E27" s="130">
        <f>IFERROR(SUMPRODUCT((危旧房屋改造项目分表!$B$6:$B$353=$E$3)*(危旧房屋改造项目分表!$O$6:$O$353="原址重建")*(危旧房屋改造项目分表!$V$6:$V$353&gt;=11%)*(危旧房屋改造项目分表!$V$6:$V$353&lt;=30%)*危旧房屋改造项目分表!$K$6:$K$353),"")</f>
        <v>0</v>
      </c>
      <c r="F27" s="130">
        <f>IFERROR(SUMPRODUCT((危旧房屋改造项目分表!$B$6:$B$353=$F$3)*(危旧房屋改造项目分表!$O$6:$O$353="原址重建")*(危旧房屋改造项目分表!$V$6:$V$353&gt;=11%)*(危旧房屋改造项目分表!$V$6:$V$353&lt;=30%)*危旧房屋改造项目分表!$K$6:$K$353),"")</f>
        <v>0</v>
      </c>
      <c r="G27" s="130">
        <f>IFERROR(SUMPRODUCT((危旧房屋改造项目分表!$B$6:$B$353=$G$3)*(危旧房屋改造项目分表!$O$6:$O$353="原址重建")*(危旧房屋改造项目分表!$V$6:$V$353&gt;=11%)*(危旧房屋改造项目分表!$V$6:$V$353&lt;=30%)*危旧房屋改造项目分表!$K$6:$K$353),"")</f>
        <v>0</v>
      </c>
      <c r="H27" s="130">
        <f>IFERROR(SUMPRODUCT((危旧房屋改造项目分表!$B$6:$B$353=$H$3)*(危旧房屋改造项目分表!$O$6:$O$353="原址重建")*(危旧房屋改造项目分表!$V$6:$V$353&gt;=11%)*(危旧房屋改造项目分表!$V$6:$V$353&lt;=30%)*危旧房屋改造项目分表!$K$6:$K$353),"")</f>
        <v>0</v>
      </c>
      <c r="I27" s="130">
        <f>IFERROR(SUMPRODUCT((危旧房屋改造项目分表!$B$6:$B$353=$I$3)*(危旧房屋改造项目分表!$O$6:$O$353="原址重建")*(危旧房屋改造项目分表!$V$6:$V$353&gt;=11%)*(危旧房屋改造项目分表!$V$6:$V$353&lt;=30%)*危旧房屋改造项目分表!$K$6:$K$353),"")</f>
        <v>0</v>
      </c>
      <c r="J27" s="130">
        <f>IFERROR(SUMPRODUCT((危旧房屋改造项目分表!$B$6:$B$353=$J$3)*(危旧房屋改造项目分表!$O$6:$O$353="原址重建")*(危旧房屋改造项目分表!$V$6:$V$353&gt;=11%)*(危旧房屋改造项目分表!$V$6:$V$353&lt;=30%)*危旧房屋改造项目分表!$K$6:$K$353),"")</f>
        <v>0</v>
      </c>
      <c r="K27" s="130">
        <f>IFERROR(SUMPRODUCT((危旧房屋改造项目分表!$B$6:$B$353=$K$3)*(危旧房屋改造项目分表!$O$6:$O$353="原址重建")*(危旧房屋改造项目分表!$V$6:$V$353&gt;=11%)*(危旧房屋改造项目分表!$V$6:$V$353&lt;=30%)*危旧房屋改造项目分表!$K$6:$K$353),"")</f>
        <v>0</v>
      </c>
      <c r="L27" s="130">
        <f>IFERROR(SUMPRODUCT((危旧房屋改造项目分表!$B$6:$B$353=$L$3)*(危旧房屋改造项目分表!$O$6:$O$353="原址重建")*(危旧房屋改造项目分表!$V$6:$V$353&gt;=11%)*(危旧房屋改造项目分表!$V$6:$V$353&lt;=30%)*危旧房屋改造项目分表!$K$6:$K$353),"")</f>
        <v>0</v>
      </c>
      <c r="M27" s="130">
        <f>SUM($D$27:$L$27)</f>
        <v>30</v>
      </c>
      <c r="N27" s="149">
        <f>IF(ISERROR(M27/$M$36),"",M27/$M$36)</f>
        <v>0.0410958904109589</v>
      </c>
    </row>
    <row r="28" ht="14.85" customHeight="1" spans="1:14">
      <c r="A28" s="137"/>
      <c r="B28" s="140"/>
      <c r="C28" s="129" t="s">
        <v>19</v>
      </c>
      <c r="D28" s="130">
        <f>IFERROR(SUMPRODUCT((危旧房屋改造项目分表!$B$6:$B$353=$D$3)*(危旧房屋改造项目分表!$O$6:$O$353="原址重建")*(危旧房屋改造项目分表!$V$6:$V$353&gt;=11%)*(危旧房屋改造项目分表!$V$6:$V$353&lt;=30%)*危旧房屋改造项目分表!$L$6:$L$353),"")</f>
        <v>1288.38</v>
      </c>
      <c r="E28" s="130">
        <f>IFERROR(SUMPRODUCT((危旧房屋改造项目分表!$B$6:$B$353=$E$3)*(危旧房屋改造项目分表!$O$6:$O$353="原址重建")*(危旧房屋改造项目分表!$V$6:$V$353&gt;=11%)*(危旧房屋改造项目分表!$V$6:$V$353&lt;=30%)*危旧房屋改造项目分表!$L$6:$L$353),"")</f>
        <v>0</v>
      </c>
      <c r="F28" s="130">
        <f>IFERROR(SUMPRODUCT((危旧房屋改造项目分表!$B$6:$B$353=$F$3)*(危旧房屋改造项目分表!$O$6:$O$353="原址重建")*(危旧房屋改造项目分表!$V$6:$V$353&gt;=11%)*(危旧房屋改造项目分表!$V$6:$V$353&lt;=30%)*危旧房屋改造项目分表!$L$6:$L$353),"")</f>
        <v>0</v>
      </c>
      <c r="G28" s="130">
        <f>IFERROR(SUMPRODUCT((危旧房屋改造项目分表!$B$6:$B$353=$G$3)*(危旧房屋改造项目分表!$O$6:$O$353="原址重建")*(危旧房屋改造项目分表!$V$6:$V$353&gt;=11%)*(危旧房屋改造项目分表!$V$6:$V$353&lt;=30%)*危旧房屋改造项目分表!$L$6:$L$353),"")</f>
        <v>0</v>
      </c>
      <c r="H28" s="130">
        <f>IFERROR(SUMPRODUCT((危旧房屋改造项目分表!$B$6:$B$353=$H$3)*(危旧房屋改造项目分表!$O$6:$O$353="原址重建")*(危旧房屋改造项目分表!$V$6:$V$353&gt;=11%)*(危旧房屋改造项目分表!$V$6:$V$353&lt;=30%)*危旧房屋改造项目分表!$L$6:$L$353),"")</f>
        <v>0</v>
      </c>
      <c r="I28" s="130">
        <f>IFERROR(SUMPRODUCT((危旧房屋改造项目分表!$B$6:$B$353=$I$3)*(危旧房屋改造项目分表!$O$6:$O$353="原址重建")*(危旧房屋改造项目分表!$V$6:$V$353&gt;=11%)*(危旧房屋改造项目分表!$V$6:$V$353&lt;=30%)*危旧房屋改造项目分表!$L$6:$L$353),"")</f>
        <v>0</v>
      </c>
      <c r="J28" s="130">
        <f>IFERROR(SUMPRODUCT((危旧房屋改造项目分表!$B$6:$B$353=$J$3)*(危旧房屋改造项目分表!$O$6:$O$353="原址重建")*(危旧房屋改造项目分表!$V$6:$V$353&gt;=11%)*(危旧房屋改造项目分表!$V$6:$V$353&lt;=30%)*危旧房屋改造项目分表!$L$6:$L$353),"")</f>
        <v>0</v>
      </c>
      <c r="K28" s="130">
        <f>IFERROR(SUMPRODUCT((危旧房屋改造项目分表!$B$6:$B$353=$K$3)*(危旧房屋改造项目分表!$O$6:$O$353="原址重建")*(危旧房屋改造项目分表!$V$6:$V$353&gt;=11%)*(危旧房屋改造项目分表!$V$6:$V$353&lt;=30%)*危旧房屋改造项目分表!$L$6:$L$353),"")</f>
        <v>0</v>
      </c>
      <c r="L28" s="130">
        <f>IFERROR(SUMPRODUCT((危旧房屋改造项目分表!$B$6:$B$353=$L$3)*(危旧房屋改造项目分表!$O$6:$O$353="原址重建")*(危旧房屋改造项目分表!$V$6:$V$353&gt;=11%)*(危旧房屋改造项目分表!$V$6:$V$353&lt;=30%)*危旧房屋改造项目分表!$L$6:$L$353),"")</f>
        <v>0</v>
      </c>
      <c r="M28" s="130">
        <f>SUM($D$28:$L$28)</f>
        <v>1288.38</v>
      </c>
      <c r="N28" s="149">
        <f>IF(ISERROR(M28/$M$37),"",M28/$M$37)</f>
        <v>0.0339703890888074</v>
      </c>
    </row>
    <row r="29" ht="14.85" customHeight="1" spans="1:14">
      <c r="A29" s="137"/>
      <c r="B29" s="140" t="s">
        <v>24</v>
      </c>
      <c r="C29" s="129" t="s">
        <v>17</v>
      </c>
      <c r="D29" s="130">
        <f>IFERROR(SUMPRODUCT((危旧房屋改造项目分表!$B$6:$B$353=$D$3)*(危旧房屋改造项目分表!$O$6:$O$353="原址重建")*(危旧房屋改造项目分表!$V$6:$V$353&gt;=31%)*(危旧房屋改造项目分表!$V$6:$V$353&lt;=89%)*危旧房屋改造项目分表!$AF$6:$AF$353),"")</f>
        <v>0</v>
      </c>
      <c r="E29" s="130">
        <f>IFERROR(SUMPRODUCT((危旧房屋改造项目分表!$B$6:$B$353=$E$3)*(危旧房屋改造项目分表!$O$6:$O$353="原址重建")*(危旧房屋改造项目分表!$V$6:$V$353&gt;=31%)*(危旧房屋改造项目分表!$V$6:$V$353&lt;=89%)*危旧房屋改造项目分表!$AF$6:$AF$353),"")</f>
        <v>0</v>
      </c>
      <c r="F29" s="130">
        <f>IFERROR(SUMPRODUCT((危旧房屋改造项目分表!$B$6:$B$353=$F$3)*(危旧房屋改造项目分表!$O$6:$O$353="原址重建")*(危旧房屋改造项目分表!$V$6:$V$353&gt;=31%)*(危旧房屋改造项目分表!$V$6:$V$353&lt;=89%)*危旧房屋改造项目分表!$AF$6:$AF$353),"")</f>
        <v>0</v>
      </c>
      <c r="G29" s="130">
        <f>IFERROR(SUMPRODUCT((危旧房屋改造项目分表!$B$6:$B$353=$G$3)*(危旧房屋改造项目分表!$O$6:$O$353="原址重建")*(危旧房屋改造项目分表!$V$6:$V$353&gt;=31%)*(危旧房屋改造项目分表!$V$6:$V$353&lt;=89%)*危旧房屋改造项目分表!$AF$6:$AF$353),"")</f>
        <v>0</v>
      </c>
      <c r="H29" s="130">
        <f>IFERROR(SUMPRODUCT((危旧房屋改造项目分表!$B$6:$B$353=$H$3)*(危旧房屋改造项目分表!$O$6:$O$353="原址重建")*(危旧房屋改造项目分表!$V$6:$V$353&gt;=31%)*(危旧房屋改造项目分表!$V$6:$V$353&lt;=89%)*危旧房屋改造项目分表!$AF$6:$AF$353),"")</f>
        <v>0</v>
      </c>
      <c r="I29" s="130">
        <f>IFERROR(SUMPRODUCT((危旧房屋改造项目分表!$B$6:$B$353=$I$3)*(危旧房屋改造项目分表!$O$6:$O$353="原址重建")*(危旧房屋改造项目分表!$V$6:$V$353&gt;=31%)*(危旧房屋改造项目分表!$V$6:$V$353&lt;=89%)*危旧房屋改造项目分表!$AF$6:$AF$353),"")</f>
        <v>0</v>
      </c>
      <c r="J29" s="130">
        <f>IFERROR(SUMPRODUCT((危旧房屋改造项目分表!$B$6:$B$353=$J$3)*(危旧房屋改造项目分表!$O$6:$O$353="原址重建")*(危旧房屋改造项目分表!$V$6:$V$353&gt;=31%)*(危旧房屋改造项目分表!$V$6:$V$353&lt;=89%)*危旧房屋改造项目分表!$AF$6:$AF$353),"")</f>
        <v>0</v>
      </c>
      <c r="K29" s="130">
        <f>IFERROR(SUMPRODUCT((危旧房屋改造项目分表!$B$6:$B$353=$K$3)*(危旧房屋改造项目分表!$O$6:$O$353="原址重建")*(危旧房屋改造项目分表!$V$6:$V$353&gt;=31%)*(危旧房屋改造项目分表!$V$6:$V$353&lt;=89%)*危旧房屋改造项目分表!$AF$6:$AF$353),"")</f>
        <v>0</v>
      </c>
      <c r="L29" s="130">
        <f>IFERROR(SUMPRODUCT((危旧房屋改造项目分表!$B$6:$B$353=$L$3)*(危旧房屋改造项目分表!$O$6:$O$353="原址重建")*(危旧房屋改造项目分表!$V$6:$V$353&gt;=31%)*(危旧房屋改造项目分表!$V$6:$V$353&lt;=89%)*危旧房屋改造项目分表!$AF$6:$AF$353),"")</f>
        <v>0</v>
      </c>
      <c r="M29" s="130">
        <f>SUM($D$29:$L$29)</f>
        <v>0</v>
      </c>
      <c r="N29" s="149">
        <f>IF(ISERROR(M29/$M$35),"",M29/$M$35)</f>
        <v>0</v>
      </c>
    </row>
    <row r="30" ht="14.85" customHeight="1" spans="1:14">
      <c r="A30" s="137"/>
      <c r="B30" s="140"/>
      <c r="C30" s="129" t="s">
        <v>18</v>
      </c>
      <c r="D30" s="130">
        <f>IFERROR(SUMPRODUCT((危旧房屋改造项目分表!$B$6:$B$353=$D$3)*(危旧房屋改造项目分表!$O$6:$O$353="原址重建")*(危旧房屋改造项目分表!$V$6:$V$353&gt;=31%)*(危旧房屋改造项目分表!$V$6:$V$353&lt;=89%)*危旧房屋改造项目分表!$K$6:$K$353),"")</f>
        <v>0</v>
      </c>
      <c r="E30" s="130">
        <f>IFERROR(SUMPRODUCT((危旧房屋改造项目分表!$B$6:$B$353=$E$3)*(危旧房屋改造项目分表!$O$6:$O$353="原址重建")*(危旧房屋改造项目分表!$V$6:$V$353&gt;=31%)*(危旧房屋改造项目分表!$V$6:$V$353&lt;=89%)*危旧房屋改造项目分表!$K$6:$K$353),"")</f>
        <v>0</v>
      </c>
      <c r="F30" s="130">
        <f>IFERROR(SUMPRODUCT((危旧房屋改造项目分表!$B$6:$B$353=$F$3)*(危旧房屋改造项目分表!$O$6:$O$353="原址重建")*(危旧房屋改造项目分表!$V$6:$V$353&gt;=31%)*(危旧房屋改造项目分表!$V$6:$V$353&lt;=89%)*危旧房屋改造项目分表!$K$6:$K$353),"")</f>
        <v>0</v>
      </c>
      <c r="G30" s="130">
        <f>IFERROR(SUMPRODUCT((危旧房屋改造项目分表!$B$6:$B$353=$G$3)*(危旧房屋改造项目分表!$O$6:$O$353="原址重建")*(危旧房屋改造项目分表!$V$6:$V$353&gt;=31%)*(危旧房屋改造项目分表!$V$6:$V$353&lt;=89%)*危旧房屋改造项目分表!$K$6:$K$353),"")</f>
        <v>0</v>
      </c>
      <c r="H30" s="130">
        <f>IFERROR(SUMPRODUCT((危旧房屋改造项目分表!$B$6:$B$353=$H$3)*(危旧房屋改造项目分表!$O$6:$O$353="原址重建")*(危旧房屋改造项目分表!$V$6:$V$353&gt;=31%)*(危旧房屋改造项目分表!$V$6:$V$353&lt;=89%)*危旧房屋改造项目分表!$K$6:$K$353),"")</f>
        <v>0</v>
      </c>
      <c r="I30" s="130">
        <f>IFERROR(SUMPRODUCT((危旧房屋改造项目分表!$B$6:$B$353=$I$3)*(危旧房屋改造项目分表!$O$6:$O$353="原址重建")*(危旧房屋改造项目分表!$V$6:$V$353&gt;=31%)*(危旧房屋改造项目分表!$V$6:$V$353&lt;=89%)*危旧房屋改造项目分表!$K$6:$K$353),"")</f>
        <v>0</v>
      </c>
      <c r="J30" s="130">
        <f>IFERROR(SUMPRODUCT((危旧房屋改造项目分表!$B$6:$B$353=$J$3)*(危旧房屋改造项目分表!$O$6:$O$353="原址重建")*(危旧房屋改造项目分表!$V$6:$V$353&gt;=31%)*(危旧房屋改造项目分表!$V$6:$V$353&lt;=89%)*危旧房屋改造项目分表!$K$6:$K$353),"")</f>
        <v>0</v>
      </c>
      <c r="K30" s="130">
        <f>IFERROR(SUMPRODUCT((危旧房屋改造项目分表!$B$6:$B$353=$K$3)*(危旧房屋改造项目分表!$O$6:$O$353="原址重建")*(危旧房屋改造项目分表!$V$6:$V$353&gt;=31%)*(危旧房屋改造项目分表!$V$6:$V$353&lt;=89%)*危旧房屋改造项目分表!$K$6:$K$353),"")</f>
        <v>0</v>
      </c>
      <c r="L30" s="130">
        <f>IFERROR(SUMPRODUCT((危旧房屋改造项目分表!$B$6:$B$353=$L$3)*(危旧房屋改造项目分表!$O$6:$O$353="原址重建")*(危旧房屋改造项目分表!$V$6:$V$353&gt;=31%)*(危旧房屋改造项目分表!$V$6:$V$353&lt;=89%)*危旧房屋改造项目分表!$K$6:$K$353),"")</f>
        <v>0</v>
      </c>
      <c r="M30" s="130">
        <f>SUM($D$30:$L$30)</f>
        <v>0</v>
      </c>
      <c r="N30" s="149">
        <f>IF(ISERROR(M30/$M$36),"",M30/$M$36)</f>
        <v>0</v>
      </c>
    </row>
    <row r="31" ht="14.85" customHeight="1" spans="1:14">
      <c r="A31" s="137"/>
      <c r="B31" s="140"/>
      <c r="C31" s="129" t="s">
        <v>19</v>
      </c>
      <c r="D31" s="130">
        <f>IFERROR(SUMPRODUCT((危旧房屋改造项目分表!$B$6:$B$353=$D$3)*(危旧房屋改造项目分表!$O$6:$O$353="原址重建")*(危旧房屋改造项目分表!$V$6:$V$353&gt;=31%)*(危旧房屋改造项目分表!$V$6:$V$353&lt;=89%)*危旧房屋改造项目分表!$L$6:$L$353),"")</f>
        <v>0</v>
      </c>
      <c r="E31" s="130">
        <f>IFERROR(SUMPRODUCT((危旧房屋改造项目分表!$B$6:$B$353=$E$3)*(危旧房屋改造项目分表!$O$6:$O$353="原址重建")*(危旧房屋改造项目分表!$V$6:$V$353&gt;=31%)*(危旧房屋改造项目分表!$V$6:$V$353&lt;=89%)*危旧房屋改造项目分表!$L$6:$L$353),"")</f>
        <v>0</v>
      </c>
      <c r="F31" s="130">
        <f>IFERROR(SUMPRODUCT((危旧房屋改造项目分表!$B$6:$B$353=$F$3)*(危旧房屋改造项目分表!$O$6:$O$353="原址重建")*(危旧房屋改造项目分表!$V$6:$V$353&gt;=31%)*(危旧房屋改造项目分表!$V$6:$V$353&lt;=89%)*危旧房屋改造项目分表!$L$6:$L$353),"")</f>
        <v>0</v>
      </c>
      <c r="G31" s="130">
        <f>IFERROR(SUMPRODUCT((危旧房屋改造项目分表!$B$6:$B$353=$G$3)*(危旧房屋改造项目分表!$O$6:$O$353="原址重建")*(危旧房屋改造项目分表!$V$6:$V$353&gt;=31%)*(危旧房屋改造项目分表!$V$6:$V$353&lt;=89%)*危旧房屋改造项目分表!$L$6:$L$353),"")</f>
        <v>0</v>
      </c>
      <c r="H31" s="130">
        <f>IFERROR(SUMPRODUCT((危旧房屋改造项目分表!$B$6:$B$353=$H$3)*(危旧房屋改造项目分表!$O$6:$O$353="原址重建")*(危旧房屋改造项目分表!$V$6:$V$353&gt;=31%)*(危旧房屋改造项目分表!$V$6:$V$353&lt;=89%)*危旧房屋改造项目分表!$L$6:$L$353),"")</f>
        <v>0</v>
      </c>
      <c r="I31" s="130">
        <f>IFERROR(SUMPRODUCT((危旧房屋改造项目分表!$B$6:$B$353=$I$3)*(危旧房屋改造项目分表!$O$6:$O$353="原址重建")*(危旧房屋改造项目分表!$V$6:$V$353&gt;=31%)*(危旧房屋改造项目分表!$V$6:$V$353&lt;=89%)*危旧房屋改造项目分表!$L$6:$L$353),"")</f>
        <v>0</v>
      </c>
      <c r="J31" s="130">
        <f>IFERROR(SUMPRODUCT((危旧房屋改造项目分表!$B$6:$B$353=$J$3)*(危旧房屋改造项目分表!$O$6:$O$353="原址重建")*(危旧房屋改造项目分表!$V$6:$V$353&gt;=31%)*(危旧房屋改造项目分表!$V$6:$V$353&lt;=89%)*危旧房屋改造项目分表!$L$6:$L$353),"")</f>
        <v>0</v>
      </c>
      <c r="K31" s="130">
        <f>IFERROR(SUMPRODUCT((危旧房屋改造项目分表!$B$6:$B$353=$K$3)*(危旧房屋改造项目分表!$O$6:$O$353="原址重建")*(危旧房屋改造项目分表!$V$6:$V$353&gt;=31%)*(危旧房屋改造项目分表!$V$6:$V$353&lt;=89%)*危旧房屋改造项目分表!$L$6:$L$353),"")</f>
        <v>0</v>
      </c>
      <c r="L31" s="130">
        <f>IFERROR(SUMPRODUCT((危旧房屋改造项目分表!$B$6:$B$353=$L$3)*(危旧房屋改造项目分表!$O$6:$O$353="原址重建")*(危旧房屋改造项目分表!$V$6:$V$353&gt;=31%)*(危旧房屋改造项目分表!$V$6:$V$353&lt;=89%)*危旧房屋改造项目分表!$L$6:$L$353),"")</f>
        <v>0</v>
      </c>
      <c r="M31" s="130">
        <f>SUM($D$31:$L$31)</f>
        <v>0</v>
      </c>
      <c r="N31" s="149">
        <f>IF(ISERROR(M31/$M$37),"",M31/$M$37)</f>
        <v>0</v>
      </c>
    </row>
    <row r="32" ht="15" customHeight="1" spans="1:14">
      <c r="A32" s="137"/>
      <c r="B32" s="140" t="s">
        <v>25</v>
      </c>
      <c r="C32" s="129" t="s">
        <v>17</v>
      </c>
      <c r="D32" s="130">
        <f>IFERROR(SUMPRODUCT((危旧房屋改造项目分表!$B$6:$B$353=$D$3)*(危旧房屋改造项目分表!$O$6:$O$353="原址重建")*(危旧房屋改造项目分表!$V$6:$V$353&gt;=90%)*危旧房屋改造项目分表!$AF$6:$AF$353),"")</f>
        <v>4</v>
      </c>
      <c r="E32" s="130">
        <f>IFERROR(SUMPRODUCT((危旧房屋改造项目分表!$B$6:$B$353=$E$3)*(危旧房屋改造项目分表!$O$6:$O$353="原址重建")*(危旧房屋改造项目分表!$V$6:$V$353&gt;=90%)*危旧房屋改造项目分表!$AF$6:$AF$353),"")</f>
        <v>0</v>
      </c>
      <c r="F32" s="130">
        <f>IFERROR(SUMPRODUCT((危旧房屋改造项目分表!$B$6:$B$353=$F$3)*(危旧房屋改造项目分表!$O$6:$O$353="原址重建")*(危旧房屋改造项目分表!$V$6:$V$353&gt;=90%)*危旧房屋改造项目分表!$AF$6:$AF$353),"")</f>
        <v>0</v>
      </c>
      <c r="G32" s="130">
        <f>IFERROR(SUMPRODUCT((危旧房屋改造项目分表!$B$6:$B$353=$G$3)*(危旧房屋改造项目分表!$O$6:$O$353="原址重建")*(危旧房屋改造项目分表!$V$6:$V$353&gt;=90%)*危旧房屋改造项目分表!$AF$6:$AF$353),"")</f>
        <v>0</v>
      </c>
      <c r="H32" s="130">
        <f>IFERROR(SUMPRODUCT((危旧房屋改造项目分表!$B$6:$B$353=$H$3)*(危旧房屋改造项目分表!$O$6:$O$353="原址重建")*(危旧房屋改造项目分表!$V$6:$V$353&gt;=90%)*危旧房屋改造项目分表!$AF$6:$AF$353),"")</f>
        <v>0</v>
      </c>
      <c r="I32" s="130">
        <f>IFERROR(SUMPRODUCT((危旧房屋改造项目分表!$B$6:$B$353=$I$3)*(危旧房屋改造项目分表!$O$6:$O$353="原址重建")*(危旧房屋改造项目分表!$V$6:$V$353&gt;=90%)*危旧房屋改造项目分表!$AF$6:$AF$353),"")</f>
        <v>0</v>
      </c>
      <c r="J32" s="130">
        <f>IFERROR(SUMPRODUCT((危旧房屋改造项目分表!$B$6:$B$353=$J$3)*(危旧房屋改造项目分表!$O$6:$O$353="原址重建")*(危旧房屋改造项目分表!$V$6:$V$353&gt;=90%)*危旧房屋改造项目分表!$AF$6:$AF$353),"")</f>
        <v>0</v>
      </c>
      <c r="K32" s="130">
        <f>IFERROR(SUMPRODUCT((危旧房屋改造项目分表!$B$6:$B$353=$K$3)*(危旧房屋改造项目分表!$O$6:$O$353="原址重建")*(危旧房屋改造项目分表!$V$6:$V$353&gt;=90%)*危旧房屋改造项目分表!$AF$6:$AF$353),"")</f>
        <v>0</v>
      </c>
      <c r="L32" s="130">
        <f>IFERROR(SUMPRODUCT((危旧房屋改造项目分表!$B$6:$B$353=$L$3)*(危旧房屋改造项目分表!$O$6:$O$353="原址重建")*(危旧房屋改造项目分表!$V$6:$V$353&gt;=90%)*危旧房屋改造项目分表!$AF$6:$AF$353),"")</f>
        <v>0</v>
      </c>
      <c r="M32" s="130">
        <f>SUM($D$32:$L$32)</f>
        <v>4</v>
      </c>
      <c r="N32" s="149">
        <f>IF(ISERROR(M32/$M$35),"",M32/$M$35)</f>
        <v>0.0449438202247191</v>
      </c>
    </row>
    <row r="33" ht="15" customHeight="1" spans="1:14">
      <c r="A33" s="137"/>
      <c r="B33" s="140"/>
      <c r="C33" s="129" t="s">
        <v>18</v>
      </c>
      <c r="D33" s="130">
        <f>IFERROR(SUMPRODUCT((危旧房屋改造项目分表!$B$6:$B$353=$D$3)*(危旧房屋改造项目分表!$O$6:$O$353="原址重建")*(危旧房屋改造项目分表!$V$6:$V$353&gt;=90%)*危旧房屋改造项目分表!$K$6:$K$353),"")</f>
        <v>5</v>
      </c>
      <c r="E33" s="130">
        <f>IFERROR(SUMPRODUCT((危旧房屋改造项目分表!$B$6:$B$353=$E$3)*(危旧房屋改造项目分表!$O$6:$O$353="原址重建")*(危旧房屋改造项目分表!$V$6:$V$353&gt;=90%)*危旧房屋改造项目分表!$K$6:$K$353),"")</f>
        <v>0</v>
      </c>
      <c r="F33" s="130">
        <f>IFERROR(SUMPRODUCT((危旧房屋改造项目分表!$B$6:$B$353=$F$3)*(危旧房屋改造项目分表!$O$6:$O$353="原址重建")*(危旧房屋改造项目分表!$V$6:$V$353&gt;=90%)*危旧房屋改造项目分表!$K$6:$K$353),"")</f>
        <v>0</v>
      </c>
      <c r="G33" s="130">
        <f>IFERROR(SUMPRODUCT((危旧房屋改造项目分表!$B$6:$B$353=$G$3)*(危旧房屋改造项目分表!$O$6:$O$353="原址重建")*(危旧房屋改造项目分表!$V$6:$V$353&gt;=90%)*危旧房屋改造项目分表!$K$6:$K$353),"")</f>
        <v>0</v>
      </c>
      <c r="H33" s="130">
        <f>IFERROR(SUMPRODUCT((危旧房屋改造项目分表!$B$6:$B$353=$H$3)*(危旧房屋改造项目分表!$O$6:$O$353="原址重建")*(危旧房屋改造项目分表!$V$6:$V$353&gt;=90%)*危旧房屋改造项目分表!$K$6:$K$353),"")</f>
        <v>0</v>
      </c>
      <c r="I33" s="130">
        <f>IFERROR(SUMPRODUCT((危旧房屋改造项目分表!$B$6:$B$353=$I$3)*(危旧房屋改造项目分表!$O$6:$O$353="原址重建")*(危旧房屋改造项目分表!$V$6:$V$353&gt;=90%)*危旧房屋改造项目分表!$K$6:$K$353),"")</f>
        <v>0</v>
      </c>
      <c r="J33" s="130">
        <f>IFERROR(SUMPRODUCT((危旧房屋改造项目分表!$B$6:$B$353=$J$3)*(危旧房屋改造项目分表!$O$6:$O$353="原址重建")*(危旧房屋改造项目分表!$V$6:$V$353&gt;=90%)*危旧房屋改造项目分表!$K$6:$K$353),"")</f>
        <v>0</v>
      </c>
      <c r="K33" s="130">
        <f>IFERROR(SUMPRODUCT((危旧房屋改造项目分表!$B$6:$B$353=$K$3)*(危旧房屋改造项目分表!$O$6:$O$353="原址重建")*(危旧房屋改造项目分表!$V$6:$V$353&gt;=90%)*危旧房屋改造项目分表!$K$6:$K$353),"")</f>
        <v>0</v>
      </c>
      <c r="L33" s="130">
        <f>IFERROR(SUMPRODUCT((危旧房屋改造项目分表!$B$6:$B$353=$L$3)*(危旧房屋改造项目分表!$O$6:$O$353="原址重建")*(危旧房屋改造项目分表!$V$6:$V$353&gt;=90%)*危旧房屋改造项目分表!$K$6:$K$353),"")</f>
        <v>0</v>
      </c>
      <c r="M33" s="130">
        <f>SUM($D$33:$L$33)</f>
        <v>5</v>
      </c>
      <c r="N33" s="149">
        <f>IF(ISERROR(M33/$M$36),"",M33/$M$36)</f>
        <v>0.00684931506849315</v>
      </c>
    </row>
    <row r="34" ht="15" customHeight="1" spans="1:14">
      <c r="A34" s="137"/>
      <c r="B34" s="140"/>
      <c r="C34" s="129" t="s">
        <v>19</v>
      </c>
      <c r="D34" s="130">
        <f>IFERROR(SUMPRODUCT((危旧房屋改造项目分表!$B$6:$B$353=$D$3)*(危旧房屋改造项目分表!$O$6:$O$353="原址重建")*(危旧房屋改造项目分表!$V$6:$V$353&gt;=90%)*危旧房屋改造项目分表!$L$6:$L$353),"")</f>
        <v>155.32</v>
      </c>
      <c r="E34" s="130">
        <f>IFERROR(SUMPRODUCT((危旧房屋改造项目分表!$B$6:$B$353=$E$3)*(危旧房屋改造项目分表!$O$6:$O$353="原址重建")*(危旧房屋改造项目分表!$V$6:$V$353&gt;=90%)*危旧房屋改造项目分表!$L$6:$L$353),"")</f>
        <v>0</v>
      </c>
      <c r="F34" s="130">
        <f>IFERROR(SUMPRODUCT((危旧房屋改造项目分表!$B$6:$B$353=$F$3)*(危旧房屋改造项目分表!$O$6:$O$353="原址重建")*(危旧房屋改造项目分表!$V$6:$V$353&gt;=90%)*危旧房屋改造项目分表!$L$6:$L$353),"")</f>
        <v>0</v>
      </c>
      <c r="G34" s="130">
        <f>IFERROR(SUMPRODUCT((危旧房屋改造项目分表!$B$6:$B$353=$G$3)*(危旧房屋改造项目分表!$O$6:$O$353="原址重建")*(危旧房屋改造项目分表!$V$6:$V$353&gt;=90%)*危旧房屋改造项目分表!$L$6:$L$353),"")</f>
        <v>0</v>
      </c>
      <c r="H34" s="130">
        <f>IFERROR(SUMPRODUCT((危旧房屋改造项目分表!$B$6:$B$353=$H$3)*(危旧房屋改造项目分表!$O$6:$O$353="原址重建")*(危旧房屋改造项目分表!$V$6:$V$353&gt;=90%)*危旧房屋改造项目分表!$L$6:$L$353),"")</f>
        <v>0</v>
      </c>
      <c r="I34" s="130">
        <f>IFERROR(SUMPRODUCT((危旧房屋改造项目分表!$B$6:$B$353=$I$3)*(危旧房屋改造项目分表!$O$6:$O$353="原址重建")*(危旧房屋改造项目分表!$V$6:$V$353&gt;=90%)*危旧房屋改造项目分表!$L$6:$L$353),"")</f>
        <v>0</v>
      </c>
      <c r="J34" s="130">
        <f>IFERROR(SUMPRODUCT((危旧房屋改造项目分表!$B$6:$B$353=$J$3)*(危旧房屋改造项目分表!$O$6:$O$353="原址重建")*(危旧房屋改造项目分表!$V$6:$V$353&gt;=90%)*危旧房屋改造项目分表!$L$6:$L$353),"")</f>
        <v>0</v>
      </c>
      <c r="K34" s="130">
        <f>IFERROR(SUMPRODUCT((危旧房屋改造项目分表!$B$6:$B$353=$K$3)*(危旧房屋改造项目分表!$O$6:$O$353="原址重建")*(危旧房屋改造项目分表!$V$6:$V$353&gt;=90%)*危旧房屋改造项目分表!$L$6:$L$353),"")</f>
        <v>0</v>
      </c>
      <c r="L34" s="130">
        <f>IFERROR(SUMPRODUCT((危旧房屋改造项目分表!$B$6:$B$353=$L$3)*(危旧房屋改造项目分表!$O$6:$O$353="原址重建")*(危旧房屋改造项目分表!$V$6:$V$353&gt;=90%)*危旧房屋改造项目分表!$L$6:$L$353),"")</f>
        <v>0</v>
      </c>
      <c r="M34" s="130">
        <f>SUM($D$34:$L$34)</f>
        <v>155.32</v>
      </c>
      <c r="N34" s="149">
        <f>IF(ISERROR(M34/$M$37),"",M34/$M$37)</f>
        <v>0.00409528309448576</v>
      </c>
    </row>
    <row r="35" ht="15" customHeight="1" spans="1:14">
      <c r="A35" s="137"/>
      <c r="B35" s="129" t="s">
        <v>26</v>
      </c>
      <c r="C35" s="129" t="s">
        <v>17</v>
      </c>
      <c r="D35" s="141">
        <f t="shared" ref="D35:L35" si="2">D26+D29+D32+D23</f>
        <v>17</v>
      </c>
      <c r="E35" s="141">
        <f t="shared" si="2"/>
        <v>38</v>
      </c>
      <c r="F35" s="141">
        <f t="shared" si="2"/>
        <v>0</v>
      </c>
      <c r="G35" s="141">
        <f t="shared" si="2"/>
        <v>27</v>
      </c>
      <c r="H35" s="141">
        <f t="shared" si="2"/>
        <v>5</v>
      </c>
      <c r="I35" s="141">
        <f t="shared" si="2"/>
        <v>2</v>
      </c>
      <c r="J35" s="141">
        <f t="shared" si="2"/>
        <v>0</v>
      </c>
      <c r="K35" s="141">
        <f t="shared" si="2"/>
        <v>0</v>
      </c>
      <c r="L35" s="141">
        <f t="shared" si="2"/>
        <v>0</v>
      </c>
      <c r="M35" s="130">
        <f>SUM(D35:L35)</f>
        <v>89</v>
      </c>
      <c r="N35" s="149">
        <f>IF(ISERROR(M35/M4),"",M35/M4)</f>
        <v>0.255747126436782</v>
      </c>
    </row>
    <row r="36" ht="15" customHeight="1" spans="1:14">
      <c r="A36" s="137"/>
      <c r="B36" s="129"/>
      <c r="C36" s="129" t="s">
        <v>18</v>
      </c>
      <c r="D36" s="141">
        <f t="shared" ref="D36:L36" si="3">D27+D30+D33+D24</f>
        <v>69</v>
      </c>
      <c r="E36" s="141">
        <f t="shared" si="3"/>
        <v>304</v>
      </c>
      <c r="F36" s="141">
        <f t="shared" si="3"/>
        <v>0</v>
      </c>
      <c r="G36" s="141">
        <f t="shared" si="3"/>
        <v>159</v>
      </c>
      <c r="H36" s="141">
        <f t="shared" si="3"/>
        <v>172</v>
      </c>
      <c r="I36" s="141">
        <f t="shared" si="3"/>
        <v>26</v>
      </c>
      <c r="J36" s="141">
        <f t="shared" si="3"/>
        <v>0</v>
      </c>
      <c r="K36" s="141">
        <f t="shared" si="3"/>
        <v>0</v>
      </c>
      <c r="L36" s="141">
        <f t="shared" si="3"/>
        <v>0</v>
      </c>
      <c r="M36" s="130">
        <f>SUM(D36:L36)</f>
        <v>730</v>
      </c>
      <c r="N36" s="149">
        <f>IF(ISERROR(M36/M5),"",M36/M5)</f>
        <v>0.202104097452935</v>
      </c>
    </row>
    <row r="37" ht="15" customHeight="1" spans="1:14">
      <c r="A37" s="142"/>
      <c r="B37" s="129"/>
      <c r="C37" s="129" t="s">
        <v>19</v>
      </c>
      <c r="D37" s="143">
        <f t="shared" ref="D37:L37" si="4">D28+D31+D34+D25</f>
        <v>3171.5</v>
      </c>
      <c r="E37" s="143">
        <f t="shared" si="4"/>
        <v>15811.41</v>
      </c>
      <c r="F37" s="143">
        <f t="shared" si="4"/>
        <v>0</v>
      </c>
      <c r="G37" s="143">
        <f t="shared" si="4"/>
        <v>6549.5</v>
      </c>
      <c r="H37" s="143">
        <f t="shared" si="4"/>
        <v>11067.15</v>
      </c>
      <c r="I37" s="143">
        <f t="shared" si="4"/>
        <v>1327</v>
      </c>
      <c r="J37" s="143">
        <f t="shared" si="4"/>
        <v>0</v>
      </c>
      <c r="K37" s="143">
        <f t="shared" si="4"/>
        <v>0</v>
      </c>
      <c r="L37" s="143">
        <f t="shared" si="4"/>
        <v>0</v>
      </c>
      <c r="M37" s="130">
        <f>SUM(D37:L37)</f>
        <v>37926.56</v>
      </c>
      <c r="N37" s="149">
        <f>IF(ISERROR(M37/M6),"",M37/M6)</f>
        <v>0.216281898414475</v>
      </c>
    </row>
    <row r="38" ht="15" customHeight="1" spans="1:14">
      <c r="A38" s="135" t="s">
        <v>28</v>
      </c>
      <c r="B38" s="140" t="s">
        <v>22</v>
      </c>
      <c r="C38" s="129" t="s">
        <v>17</v>
      </c>
      <c r="D38" s="130">
        <f>IFERROR(SUMPRODUCT((危旧房屋改造项目分表!$B$6:$B$353=$D$3)*(危旧房屋改造项目分表!$O$6:$O$353="加面重建")*(危旧房屋改造项目分表!$V$6:$V$353&lt;=10%)*危旧房屋改造项目分表!$AF$6:$AF$353),"")</f>
        <v>0</v>
      </c>
      <c r="E38" s="130">
        <f>IFERROR(SUMPRODUCT((危旧房屋改造项目分表!$B$6:$B$353=$E$3)*(危旧房屋改造项目分表!$O$6:$O$353="加面重建")*(危旧房屋改造项目分表!$V$6:$V$353&lt;=10%)*危旧房屋改造项目分表!$AF$6:$AF$353),"")</f>
        <v>4</v>
      </c>
      <c r="F38" s="130">
        <f>IFERROR(SUMPRODUCT((危旧房屋改造项目分表!$B$6:$B$353=$F$3)*(危旧房屋改造项目分表!$O$6:$O$353="加面重建")*(危旧房屋改造项目分表!$V$6:$V$353&lt;=10%)*危旧房屋改造项目分表!$AF$6:$AF$353),"")</f>
        <v>0</v>
      </c>
      <c r="G38" s="130">
        <f>IFERROR(SUMPRODUCT((危旧房屋改造项目分表!$B$6:$B$353=$G$3)*(危旧房屋改造项目分表!$O$6:$O$353="加面重建")*(危旧房屋改造项目分表!$V$6:$V$353&lt;=10%)*危旧房屋改造项目分表!$AF$6:$AF$353),"")</f>
        <v>5</v>
      </c>
      <c r="H38" s="130">
        <f>IFERROR(SUMPRODUCT((危旧房屋改造项目分表!$B$6:$B$353=$H$3)*(危旧房屋改造项目分表!$O$6:$O$353="加面重建")*(危旧房屋改造项目分表!$V$6:$V$353&lt;=10%)*危旧房屋改造项目分表!$AF$6:$AF$353),"")</f>
        <v>0</v>
      </c>
      <c r="I38" s="130">
        <f>IFERROR(SUMPRODUCT((危旧房屋改造项目分表!$B$6:$B$353=$I$3)*(危旧房屋改造项目分表!$O$6:$O$353="加面重建")*(危旧房屋改造项目分表!$V$6:$V$353&lt;=10%)*危旧房屋改造项目分表!$AF$6:$AF$353),"")</f>
        <v>0</v>
      </c>
      <c r="J38" s="130">
        <f>IFERROR(SUMPRODUCT((危旧房屋改造项目分表!$B$6:$B$353=$J$3)*(危旧房屋改造项目分表!$O$6:$O$353="加面重建")*(危旧房屋改造项目分表!$V$6:$V$353&lt;=10%)*危旧房屋改造项目分表!$AF$6:$AF$353),"")</f>
        <v>0</v>
      </c>
      <c r="K38" s="130">
        <f>IFERROR(SUMPRODUCT((危旧房屋改造项目分表!$B$6:$B$353=$K$3)*(危旧房屋改造项目分表!$O$6:$O$353="加面重建")*(危旧房屋改造项目分表!$V$6:$V$353&lt;=10%)*危旧房屋改造项目分表!$AF$6:$AF$353),"")</f>
        <v>0</v>
      </c>
      <c r="L38" s="130">
        <f>IFERROR(SUMPRODUCT((危旧房屋改造项目分表!$B$6:$B$353=$L$3)*(危旧房屋改造项目分表!$O$6:$O$353="加面重建")*(危旧房屋改造项目分表!$V$6:$V$353&lt;=10%)*危旧房屋改造项目分表!$AF$6:$AF$353),"")</f>
        <v>0</v>
      </c>
      <c r="M38" s="130">
        <f>SUM($D$38:$L$38)</f>
        <v>9</v>
      </c>
      <c r="N38" s="149">
        <f>IF(ISERROR(M38/$M$50),"",M38/$M$50)</f>
        <v>0.9</v>
      </c>
    </row>
    <row r="39" ht="15" customHeight="1" spans="1:14">
      <c r="A39" s="137"/>
      <c r="B39" s="140"/>
      <c r="C39" s="129" t="s">
        <v>18</v>
      </c>
      <c r="D39" s="130">
        <f>IFERROR(SUMPRODUCT((危旧房屋改造项目分表!$B$6:$B$353=$D$3)*(危旧房屋改造项目分表!$O$6:$O$353="加面重建")*(危旧房屋改造项目分表!$V$6:$V$353&lt;=10%)*危旧房屋改造项目分表!$K$6:$K$353),"")</f>
        <v>0</v>
      </c>
      <c r="E39" s="130">
        <f>IFERROR(SUMPRODUCT((危旧房屋改造项目分表!$B$6:$B$353=$E$3)*(危旧房屋改造项目分表!$O$6:$O$353="加面重建")*(危旧房屋改造项目分表!$V$6:$V$353&lt;=10%)*危旧房屋改造项目分表!$K$6:$K$353),"")</f>
        <v>28</v>
      </c>
      <c r="F39" s="130">
        <f>IFERROR(SUMPRODUCT((危旧房屋改造项目分表!$B$6:$B$353=$F$3)*(危旧房屋改造项目分表!$O$6:$O$353="加面重建")*(危旧房屋改造项目分表!$V$6:$V$353&lt;=10%)*危旧房屋改造项目分表!$K$6:$K$353),"")</f>
        <v>0</v>
      </c>
      <c r="G39" s="130">
        <f>IFERROR(SUMPRODUCT((危旧房屋改造项目分表!$B$6:$B$353=$G$3)*(危旧房屋改造项目分表!$O$6:$O$353="加面重建")*(危旧房屋改造项目分表!$V$6:$V$353&lt;=10%)*危旧房屋改造项目分表!$K$6:$K$353),"")</f>
        <v>15</v>
      </c>
      <c r="H39" s="130">
        <f>IFERROR(SUMPRODUCT((危旧房屋改造项目分表!$B$6:$B$353=$H$3)*(危旧房屋改造项目分表!$O$6:$O$353="加面重建")*(危旧房屋改造项目分表!$V$6:$V$353&lt;=10%)*危旧房屋改造项目分表!$K$6:$K$353),"")</f>
        <v>0</v>
      </c>
      <c r="I39" s="130">
        <f>IFERROR(SUMPRODUCT((危旧房屋改造项目分表!$B$6:$B$353=$I$3)*(危旧房屋改造项目分表!$O$6:$O$353="加面重建")*(危旧房屋改造项目分表!$V$6:$V$353&lt;=10%)*危旧房屋改造项目分表!$K$6:$K$353),"")</f>
        <v>0</v>
      </c>
      <c r="J39" s="130">
        <f>IFERROR(SUMPRODUCT((危旧房屋改造项目分表!$B$6:$B$353=$J$3)*(危旧房屋改造项目分表!$O$6:$O$353="加面重建")*(危旧房屋改造项目分表!$V$6:$V$353&lt;=10%)*危旧房屋改造项目分表!$K$6:$K$353),"")</f>
        <v>0</v>
      </c>
      <c r="K39" s="130">
        <f>IFERROR(SUMPRODUCT((危旧房屋改造项目分表!$B$6:$B$353=$K$3)*(危旧房屋改造项目分表!$O$6:$O$353="加面重建")*(危旧房屋改造项目分表!$V$6:$V$353&lt;=10%)*危旧房屋改造项目分表!$K$6:$K$353),"")</f>
        <v>0</v>
      </c>
      <c r="L39" s="130">
        <f>IFERROR(SUMPRODUCT((危旧房屋改造项目分表!$B$6:$B$353=$L$3)*(危旧房屋改造项目分表!$O$6:$O$353="加面重建")*(危旧房屋改造项目分表!$V$6:$V$353&lt;=10%)*危旧房屋改造项目分表!$K$6:$K$353),"")</f>
        <v>0</v>
      </c>
      <c r="M39" s="130">
        <f>SUM($D$39:$L$39)</f>
        <v>43</v>
      </c>
      <c r="N39" s="149">
        <f>IF(ISERROR(M39/$M$51),"",M39/$M$51)</f>
        <v>0.977272727272727</v>
      </c>
    </row>
    <row r="40" ht="15" customHeight="1" spans="1:14">
      <c r="A40" s="137"/>
      <c r="B40" s="140"/>
      <c r="C40" s="129" t="s">
        <v>19</v>
      </c>
      <c r="D40" s="130">
        <f>IFERROR(SUMPRODUCT((危旧房屋改造项目分表!$B$6:$B$353=$D$3)*(危旧房屋改造项目分表!$O$6:$O$353="加面重建")*(危旧房屋改造项目分表!$V$6:$V$353&lt;=10%)*危旧房屋改造项目分表!$L$6:$L$353),"")</f>
        <v>0</v>
      </c>
      <c r="E40" s="130">
        <f>IFERROR(SUMPRODUCT((危旧房屋改造项目分表!$B$6:$B$353=$E$3)*(危旧房屋改造项目分表!$O$6:$O$353="加面重建")*(危旧房屋改造项目分表!$V$6:$V$353&lt;=10%)*危旧房屋改造项目分表!$L$6:$L$353),"")</f>
        <v>938.17</v>
      </c>
      <c r="F40" s="130">
        <f>IFERROR(SUMPRODUCT((危旧房屋改造项目分表!$B$6:$B$353=$F$3)*(危旧房屋改造项目分表!$O$6:$O$353="加面重建")*(危旧房屋改造项目分表!$V$6:$V$353&lt;=10%)*危旧房屋改造项目分表!$L$6:$L$353),"")</f>
        <v>0</v>
      </c>
      <c r="G40" s="130">
        <f>IFERROR(SUMPRODUCT((危旧房屋改造项目分表!$B$6:$B$353=$G$3)*(危旧房屋改造项目分表!$O$6:$O$353="加面重建")*(危旧房屋改造项目分表!$V$6:$V$353&lt;=10%)*危旧房屋改造项目分表!$L$6:$L$353),"")</f>
        <v>523.17</v>
      </c>
      <c r="H40" s="130">
        <f>IFERROR(SUMPRODUCT((危旧房屋改造项目分表!$B$6:$B$353=$H$3)*(危旧房屋改造项目分表!$O$6:$O$353="加面重建")*(危旧房屋改造项目分表!$V$6:$V$353&lt;=10%)*危旧房屋改造项目分表!$L$6:$L$353),"")</f>
        <v>0</v>
      </c>
      <c r="I40" s="130">
        <f>IFERROR(SUMPRODUCT((危旧房屋改造项目分表!$B$6:$B$353=$I$3)*(危旧房屋改造项目分表!$O$6:$O$353="加面重建")*(危旧房屋改造项目分表!$V$6:$V$353&lt;=10%)*危旧房屋改造项目分表!$L$6:$L$353),"")</f>
        <v>0</v>
      </c>
      <c r="J40" s="130">
        <f>IFERROR(SUMPRODUCT((危旧房屋改造项目分表!$B$6:$B$353=$J$3)*(危旧房屋改造项目分表!$O$6:$O$353="加面重建")*(危旧房屋改造项目分表!$V$6:$V$353&lt;=10%)*危旧房屋改造项目分表!$L$6:$L$353),"")</f>
        <v>0</v>
      </c>
      <c r="K40" s="130">
        <f>IFERROR(SUMPRODUCT((危旧房屋改造项目分表!$B$6:$B$353=$K$3)*(危旧房屋改造项目分表!$O$6:$O$353="加面重建")*(危旧房屋改造项目分表!$V$6:$V$353&lt;=10%)*危旧房屋改造项目分表!$L$6:$L$353),"")</f>
        <v>0</v>
      </c>
      <c r="L40" s="130">
        <f>IFERROR(SUMPRODUCT((危旧房屋改造项目分表!$B$6:$B$353=$L$3)*(危旧房屋改造项目分表!$O$6:$O$353="加面重建")*(危旧房屋改造项目分表!$V$6:$V$353&lt;=10%)*危旧房屋改造项目分表!$L$6:$L$353),"")</f>
        <v>0</v>
      </c>
      <c r="M40" s="130">
        <f>SUM($D$40:$L$40)</f>
        <v>1461.34</v>
      </c>
      <c r="N40" s="149">
        <f>IF(ISERROR(M40/$M$52),"",M40/$M$52)</f>
        <v>0.859288267946185</v>
      </c>
    </row>
    <row r="41" ht="15" customHeight="1" spans="1:14">
      <c r="A41" s="137"/>
      <c r="B41" s="140" t="s">
        <v>23</v>
      </c>
      <c r="C41" s="129" t="s">
        <v>17</v>
      </c>
      <c r="D41" s="130">
        <f>IFERROR(SUMPRODUCT((危旧房屋改造项目分表!$B$6:$B$353=$D$3)*(危旧房屋改造项目分表!$O$6:$O$353="加面重建")*(危旧房屋改造项目分表!$V$6:$V$353&gt;=11%)*(危旧房屋改造项目分表!$V$6:$V$353&lt;=30%)*危旧房屋改造项目分表!$AF$6:$AF$353),"")</f>
        <v>1</v>
      </c>
      <c r="E41" s="130">
        <f>IFERROR(SUMPRODUCT((危旧房屋改造项目分表!$B$6:$B$353=$E$3)*(危旧房屋改造项目分表!$O$6:$O$353="加面重建")*(危旧房屋改造项目分表!$V$6:$V$353&gt;=11%)*(危旧房屋改造项目分表!$V$6:$V$353&lt;=30%)*危旧房屋改造项目分表!$AF$6:$AF$353),"")</f>
        <v>0</v>
      </c>
      <c r="F41" s="130">
        <f>IFERROR(SUMPRODUCT((危旧房屋改造项目分表!$B$6:$B$353=$F$3)*(危旧房屋改造项目分表!$O$6:$O$353="加面重建")*(危旧房屋改造项目分表!$V$6:$V$353&gt;=11%)*(危旧房屋改造项目分表!$V$6:$V$353&lt;=30%)*危旧房屋改造项目分表!$AF$6:$AF$353),"")</f>
        <v>0</v>
      </c>
      <c r="G41" s="130">
        <f>IFERROR(SUMPRODUCT((危旧房屋改造项目分表!$B$6:$B$353=$G$3)*(危旧房屋改造项目分表!$O$6:$O$353="加面重建")*(危旧房屋改造项目分表!$V$6:$V$353&gt;=11%)*(危旧房屋改造项目分表!$V$6:$V$353&lt;=30%)*危旧房屋改造项目分表!$AF$6:$AF$353),"")</f>
        <v>0</v>
      </c>
      <c r="H41" s="130">
        <f>IFERROR(SUMPRODUCT((危旧房屋改造项目分表!$B$6:$B$353=$H$3)*(危旧房屋改造项目分表!$O$6:$O$353="加面重建")*(危旧房屋改造项目分表!$V$6:$V$353&gt;=11%)*(危旧房屋改造项目分表!$V$6:$V$353&lt;=30%)*危旧房屋改造项目分表!$AF$6:$AF$353),"")</f>
        <v>0</v>
      </c>
      <c r="I41" s="130">
        <f>IFERROR(SUMPRODUCT((危旧房屋改造项目分表!$B$6:$B$353=$I$3)*(危旧房屋改造项目分表!$O$6:$O$353="加面重建")*(危旧房屋改造项目分表!$V$6:$V$353&gt;=11%)*(危旧房屋改造项目分表!$V$6:$V$353&lt;=30%)*危旧房屋改造项目分表!$AF$6:$AF$353),"")</f>
        <v>0</v>
      </c>
      <c r="J41" s="130">
        <f>IFERROR(SUMPRODUCT((危旧房屋改造项目分表!$B$6:$B$353=$J$3)*(危旧房屋改造项目分表!$O$6:$O$353="加面重建")*(危旧房屋改造项目分表!$V$6:$V$353&gt;=11%)*(危旧房屋改造项目分表!$V$6:$V$353&lt;=30%)*危旧房屋改造项目分表!$AF$6:$AF$353),"")</f>
        <v>0</v>
      </c>
      <c r="K41" s="130">
        <f>IFERROR(SUMPRODUCT((危旧房屋改造项目分表!$B$6:$B$353=$K$3)*(危旧房屋改造项目分表!$O$6:$O$353="加面重建")*(危旧房屋改造项目分表!$V$6:$V$353&gt;=11%)*(危旧房屋改造项目分表!$V$6:$V$353&lt;=30%)*危旧房屋改造项目分表!$AF$6:$AF$353),"")</f>
        <v>0</v>
      </c>
      <c r="L41" s="130">
        <f>IFERROR(SUMPRODUCT((危旧房屋改造项目分表!$B$6:$B$353=$L$3)*(危旧房屋改造项目分表!$O$6:$O$353="加面重建")*(危旧房屋改造项目分表!$V$6:$V$353&gt;=11%)*(危旧房屋改造项目分表!$V$6:$V$353&lt;=30%)*危旧房屋改造项目分表!$AF$6:$AF$353),"")</f>
        <v>0</v>
      </c>
      <c r="M41" s="130">
        <f>SUM($D$41:$L$41)</f>
        <v>1</v>
      </c>
      <c r="N41" s="149">
        <f>IF(ISERROR(M41/$M$50),"",M41/$M$50)</f>
        <v>0.1</v>
      </c>
    </row>
    <row r="42" ht="15" customHeight="1" spans="1:14">
      <c r="A42" s="137"/>
      <c r="B42" s="140"/>
      <c r="C42" s="129" t="s">
        <v>18</v>
      </c>
      <c r="D42" s="130">
        <f>IFERROR(SUMPRODUCT((危旧房屋改造项目分表!$B$6:$B$353=$D$3)*(危旧房屋改造项目分表!$O$6:$O$353="加面重建")*(危旧房屋改造项目分表!$V$6:$V$353&gt;=11%)*(危旧房屋改造项目分表!$V$6:$V$353&lt;=30%)*危旧房屋改造项目分表!$K$6:$K$353),"")</f>
        <v>1</v>
      </c>
      <c r="E42" s="130">
        <f>IFERROR(SUMPRODUCT((危旧房屋改造项目分表!$B$6:$B$353=$E$3)*(危旧房屋改造项目分表!$O$6:$O$353="加面重建")*(危旧房屋改造项目分表!$V$6:$V$353&gt;=11%)*(危旧房屋改造项目分表!$V$6:$V$353&lt;=30%)*危旧房屋改造项目分表!$K$6:$K$353),"")</f>
        <v>0</v>
      </c>
      <c r="F42" s="130">
        <f>IFERROR(SUMPRODUCT((危旧房屋改造项目分表!$B$6:$B$353=$F$3)*(危旧房屋改造项目分表!$O$6:$O$353="加面重建")*(危旧房屋改造项目分表!$V$6:$V$353&gt;=11%)*(危旧房屋改造项目分表!$V$6:$V$353&lt;=30%)*危旧房屋改造项目分表!$K$6:$K$353),"")</f>
        <v>0</v>
      </c>
      <c r="G42" s="130">
        <f>IFERROR(SUMPRODUCT((危旧房屋改造项目分表!$B$6:$B$353=$G$3)*(危旧房屋改造项目分表!$O$6:$O$353="加面重建")*(危旧房屋改造项目分表!$V$6:$V$353&gt;=11%)*(危旧房屋改造项目分表!$V$6:$V$353&lt;=30%)*危旧房屋改造项目分表!$K$6:$K$353),"")</f>
        <v>0</v>
      </c>
      <c r="H42" s="130">
        <f>IFERROR(SUMPRODUCT((危旧房屋改造项目分表!$B$6:$B$353=$H$3)*(危旧房屋改造项目分表!$O$6:$O$353="加面重建")*(危旧房屋改造项目分表!$V$6:$V$353&gt;=11%)*(危旧房屋改造项目分表!$V$6:$V$353&lt;=30%)*危旧房屋改造项目分表!$K$6:$K$353),"")</f>
        <v>0</v>
      </c>
      <c r="I42" s="130">
        <f>IFERROR(SUMPRODUCT((危旧房屋改造项目分表!$B$6:$B$353=$I$3)*(危旧房屋改造项目分表!$O$6:$O$353="加面重建")*(危旧房屋改造项目分表!$V$6:$V$353&gt;=11%)*(危旧房屋改造项目分表!$V$6:$V$353&lt;=30%)*危旧房屋改造项目分表!$K$6:$K$353),"")</f>
        <v>0</v>
      </c>
      <c r="J42" s="130">
        <f>IFERROR(SUMPRODUCT((危旧房屋改造项目分表!$B$6:$B$353=$J$3)*(危旧房屋改造项目分表!$O$6:$O$353="加面重建")*(危旧房屋改造项目分表!$V$6:$V$353&gt;=11%)*(危旧房屋改造项目分表!$V$6:$V$353&lt;=30%)*危旧房屋改造项目分表!$K$6:$K$353),"")</f>
        <v>0</v>
      </c>
      <c r="K42" s="130">
        <f>IFERROR(SUMPRODUCT((危旧房屋改造项目分表!$B$6:$B$353=$K$3)*(危旧房屋改造项目分表!$O$6:$O$353="加面重建")*(危旧房屋改造项目分表!$V$6:$V$353&gt;=11%)*(危旧房屋改造项目分表!$V$6:$V$353&lt;=30%)*危旧房屋改造项目分表!$K$6:$K$353),"")</f>
        <v>0</v>
      </c>
      <c r="L42" s="130">
        <f>IFERROR(SUMPRODUCT((危旧房屋改造项目分表!$B$6:$B$353=$L$3)*(危旧房屋改造项目分表!$O$6:$O$353="加面重建")*(危旧房屋改造项目分表!$V$6:$V$353&gt;=11%)*(危旧房屋改造项目分表!$V$6:$V$353&lt;=30%)*危旧房屋改造项目分表!$K$6:$K$353),"")</f>
        <v>0</v>
      </c>
      <c r="M42" s="130">
        <f>SUM($D$42:$L$42)</f>
        <v>1</v>
      </c>
      <c r="N42" s="149">
        <f>IF(ISERROR(M42/$M$51),"",M42/$M$51)</f>
        <v>0.0227272727272727</v>
      </c>
    </row>
    <row r="43" ht="15" customHeight="1" spans="1:14">
      <c r="A43" s="137"/>
      <c r="B43" s="140"/>
      <c r="C43" s="129" t="s">
        <v>19</v>
      </c>
      <c r="D43" s="130">
        <f>IFERROR(SUMPRODUCT((危旧房屋改造项目分表!$B$6:$B$353=$D$3)*(危旧房屋改造项目分表!$O$6:$O$353="加面重建")*(危旧房屋改造项目分表!$V$6:$V$353&gt;=11%)*(危旧房屋改造项目分表!$V$6:$V$353&lt;=30%)*危旧房屋改造项目分表!$L$6:$L$353),"")</f>
        <v>239.3</v>
      </c>
      <c r="E43" s="130">
        <f>IFERROR(SUMPRODUCT((危旧房屋改造项目分表!$B$6:$B$353=$E$3)*(危旧房屋改造项目分表!$O$6:$O$353="加面重建")*(危旧房屋改造项目分表!$V$6:$V$353&gt;=11%)*(危旧房屋改造项目分表!$V$6:$V$353&lt;=30%)*危旧房屋改造项目分表!$L$6:$L$353),"")</f>
        <v>0</v>
      </c>
      <c r="F43" s="130">
        <f>IFERROR(SUMPRODUCT((危旧房屋改造项目分表!$B$6:$B$353=$F$3)*(危旧房屋改造项目分表!$O$6:$O$353="加面重建")*(危旧房屋改造项目分表!$V$6:$V$353&gt;=11%)*(危旧房屋改造项目分表!$V$6:$V$353&lt;=30%)*危旧房屋改造项目分表!$L$6:$L$353),"")</f>
        <v>0</v>
      </c>
      <c r="G43" s="130">
        <f>IFERROR(SUMPRODUCT((危旧房屋改造项目分表!$B$6:$B$353=$G$3)*(危旧房屋改造项目分表!$O$6:$O$353="加面重建")*(危旧房屋改造项目分表!$V$6:$V$353&gt;=11%)*(危旧房屋改造项目分表!$V$6:$V$353&lt;=30%)*危旧房屋改造项目分表!$L$6:$L$353),"")</f>
        <v>0</v>
      </c>
      <c r="H43" s="130">
        <f>IFERROR(SUMPRODUCT((危旧房屋改造项目分表!$B$6:$B$353=$H$3)*(危旧房屋改造项目分表!$O$6:$O$353="加面重建")*(危旧房屋改造项目分表!$V$6:$V$353&gt;=11%)*(危旧房屋改造项目分表!$V$6:$V$353&lt;=30%)*危旧房屋改造项目分表!$L$6:$L$353),"")</f>
        <v>0</v>
      </c>
      <c r="I43" s="130">
        <f>IFERROR(SUMPRODUCT((危旧房屋改造项目分表!$B$6:$B$353=$I$3)*(危旧房屋改造项目分表!$O$6:$O$353="加面重建")*(危旧房屋改造项目分表!$V$6:$V$353&gt;=11%)*(危旧房屋改造项目分表!$V$6:$V$353&lt;=30%)*危旧房屋改造项目分表!$L$6:$L$353),"")</f>
        <v>0</v>
      </c>
      <c r="J43" s="130">
        <f>IFERROR(SUMPRODUCT((危旧房屋改造项目分表!$B$6:$B$353=$J$3)*(危旧房屋改造项目分表!$O$6:$O$353="加面重建")*(危旧房屋改造项目分表!$V$6:$V$353&gt;=11%)*(危旧房屋改造项目分表!$V$6:$V$353&lt;=30%)*危旧房屋改造项目分表!$L$6:$L$353),"")</f>
        <v>0</v>
      </c>
      <c r="K43" s="130">
        <f>IFERROR(SUMPRODUCT((危旧房屋改造项目分表!$B$6:$B$353=$K$3)*(危旧房屋改造项目分表!$O$6:$O$353="加面重建")*(危旧房屋改造项目分表!$V$6:$V$353&gt;=11%)*(危旧房屋改造项目分表!$V$6:$V$353&lt;=30%)*危旧房屋改造项目分表!$L$6:$L$353),"")</f>
        <v>0</v>
      </c>
      <c r="L43" s="130">
        <f>IFERROR(SUMPRODUCT((危旧房屋改造项目分表!$B$6:$B$353=$L$3)*(危旧房屋改造项目分表!$O$6:$O$353="加面重建")*(危旧房屋改造项目分表!$V$6:$V$353&gt;=11%)*(危旧房屋改造项目分表!$V$6:$V$353&lt;=30%)*危旧房屋改造项目分表!$L$6:$L$353),"")</f>
        <v>0</v>
      </c>
      <c r="M43" s="130">
        <f>SUM($D$43:$L$43)</f>
        <v>239.3</v>
      </c>
      <c r="N43" s="149">
        <f>IF(ISERROR(M43/$M$52),"",M43/$M$52)</f>
        <v>0.140711732053815</v>
      </c>
    </row>
    <row r="44" ht="15" customHeight="1" spans="1:14">
      <c r="A44" s="137"/>
      <c r="B44" s="140" t="s">
        <v>24</v>
      </c>
      <c r="C44" s="129" t="s">
        <v>17</v>
      </c>
      <c r="D44" s="130">
        <f>IFERROR(SUMPRODUCT((危旧房屋改造项目分表!$B$6:$B$353=$D$3)*(危旧房屋改造项目分表!$O$6:$O$353="加面重建")*(危旧房屋改造项目分表!$V$6:$V$353&gt;=31%)*(危旧房屋改造项目分表!$V$6:$V$353&lt;=89%)*危旧房屋改造项目分表!$AF$6:$AF$353),"")</f>
        <v>0</v>
      </c>
      <c r="E44" s="130">
        <f>IFERROR(SUMPRODUCT((危旧房屋改造项目分表!$B$6:$B$353=$E$3)*(危旧房屋改造项目分表!$O$6:$O$353="加面重建")*(危旧房屋改造项目分表!$V$6:$V$353&gt;=31%)*(危旧房屋改造项目分表!$V$6:$V$353&lt;=89%)*危旧房屋改造项目分表!$AF$6:$AF$353),"")</f>
        <v>0</v>
      </c>
      <c r="F44" s="130">
        <f>IFERROR(SUMPRODUCT((危旧房屋改造项目分表!$B$6:$B$353=$F$3)*(危旧房屋改造项目分表!$O$6:$O$353="加面重建")*(危旧房屋改造项目分表!$V$6:$V$353&gt;=31%)*(危旧房屋改造项目分表!$V$6:$V$353&lt;=89%)*危旧房屋改造项目分表!$AF$6:$AF$353),"")</f>
        <v>0</v>
      </c>
      <c r="G44" s="130">
        <f>IFERROR(SUMPRODUCT((危旧房屋改造项目分表!$B$6:$B$353=$G$3)*(危旧房屋改造项目分表!$O$6:$O$353="加面重建")*(危旧房屋改造项目分表!$V$6:$V$353&gt;=31%)*(危旧房屋改造项目分表!$V$6:$V$353&lt;=89%)*危旧房屋改造项目分表!$AF$6:$AF$353),"")</f>
        <v>0</v>
      </c>
      <c r="H44" s="130">
        <f>IFERROR(SUMPRODUCT((危旧房屋改造项目分表!$B$6:$B$353=$H$3)*(危旧房屋改造项目分表!$O$6:$O$353="加面重建")*(危旧房屋改造项目分表!$V$6:$V$353&gt;=31%)*(危旧房屋改造项目分表!$V$6:$V$353&lt;=89%)*危旧房屋改造项目分表!$AF$6:$AF$353),"")</f>
        <v>0</v>
      </c>
      <c r="I44" s="130">
        <f>IFERROR(SUMPRODUCT((危旧房屋改造项目分表!$B$6:$B$353=$I$3)*(危旧房屋改造项目分表!$O$6:$O$353="加面重建")*(危旧房屋改造项目分表!$V$6:$V$353&gt;=31%)*(危旧房屋改造项目分表!$V$6:$V$353&lt;=89%)*危旧房屋改造项目分表!$AF$6:$AF$353),"")</f>
        <v>0</v>
      </c>
      <c r="J44" s="130">
        <f>IFERROR(SUMPRODUCT((危旧房屋改造项目分表!$B$6:$B$353=$J$3)*(危旧房屋改造项目分表!$O$6:$O$353="加面重建")*(危旧房屋改造项目分表!$V$6:$V$353&gt;=31%)*(危旧房屋改造项目分表!$V$6:$V$353&lt;=89%)*危旧房屋改造项目分表!$AF$6:$AF$353),"")</f>
        <v>0</v>
      </c>
      <c r="K44" s="130">
        <f>IFERROR(SUMPRODUCT((危旧房屋改造项目分表!$B$6:$B$353=$K$3)*(危旧房屋改造项目分表!$O$6:$O$353="加面重建")*(危旧房屋改造项目分表!$V$6:$V$353&gt;=31%)*(危旧房屋改造项目分表!$V$6:$V$353&lt;=89%)*危旧房屋改造项目分表!$AF$6:$AF$353),"")</f>
        <v>0</v>
      </c>
      <c r="L44" s="130">
        <f>IFERROR(SUMPRODUCT((危旧房屋改造项目分表!$B$6:$B$353=$L$3)*(危旧房屋改造项目分表!$O$6:$O$353="加面重建")*(危旧房屋改造项目分表!$V$6:$V$353&gt;=31%)*(危旧房屋改造项目分表!$V$6:$V$353&lt;=89%)*危旧房屋改造项目分表!$AF$6:$AF$353),"")</f>
        <v>0</v>
      </c>
      <c r="M44" s="130">
        <f>SUM($D$44:$L$44)</f>
        <v>0</v>
      </c>
      <c r="N44" s="149">
        <f>IF(ISERROR(M44/$M$50),"",M44/$M$50)</f>
        <v>0</v>
      </c>
    </row>
    <row r="45" ht="15" customHeight="1" spans="1:14">
      <c r="A45" s="137"/>
      <c r="B45" s="140"/>
      <c r="C45" s="129" t="s">
        <v>18</v>
      </c>
      <c r="D45" s="130">
        <f>IFERROR(SUMPRODUCT((危旧房屋改造项目分表!$B$6:$B$353=$D$3)*(危旧房屋改造项目分表!$O$6:$O$353="加面重建")*(危旧房屋改造项目分表!$V$6:$V$353&gt;=31%)*(危旧房屋改造项目分表!$V$6:$V$353&lt;=89%)*危旧房屋改造项目分表!$K$6:$K$353),"")</f>
        <v>0</v>
      </c>
      <c r="E45" s="130">
        <f>IFERROR(SUMPRODUCT((危旧房屋改造项目分表!$B$6:$B$353=$E$3)*(危旧房屋改造项目分表!$O$6:$O$353="加面重建")*(危旧房屋改造项目分表!$V$6:$V$353&gt;=31%)*(危旧房屋改造项目分表!$V$6:$V$353&lt;=89%)*危旧房屋改造项目分表!$K$6:$K$353),"")</f>
        <v>0</v>
      </c>
      <c r="F45" s="130">
        <f>IFERROR(SUMPRODUCT((危旧房屋改造项目分表!$B$6:$B$353=$F$3)*(危旧房屋改造项目分表!$O$6:$O$353="加面重建")*(危旧房屋改造项目分表!$V$6:$V$353&gt;=31%)*(危旧房屋改造项目分表!$V$6:$V$353&lt;=89%)*危旧房屋改造项目分表!$K$6:$K$353),"")</f>
        <v>0</v>
      </c>
      <c r="G45" s="130">
        <f>IFERROR(SUMPRODUCT((危旧房屋改造项目分表!$B$6:$B$353=$G$3)*(危旧房屋改造项目分表!$O$6:$O$353="加面重建")*(危旧房屋改造项目分表!$V$6:$V$353&gt;=31%)*(危旧房屋改造项目分表!$V$6:$V$353&lt;=89%)*危旧房屋改造项目分表!$K$6:$K$353),"")</f>
        <v>0</v>
      </c>
      <c r="H45" s="130">
        <f>IFERROR(SUMPRODUCT((危旧房屋改造项目分表!$B$6:$B$353=$H$3)*(危旧房屋改造项目分表!$O$6:$O$353="加面重建")*(危旧房屋改造项目分表!$V$6:$V$353&gt;=31%)*(危旧房屋改造项目分表!$V$6:$V$353&lt;=89%)*危旧房屋改造项目分表!$K$6:$K$353),"")</f>
        <v>0</v>
      </c>
      <c r="I45" s="130">
        <f>IFERROR(SUMPRODUCT((危旧房屋改造项目分表!$B$6:$B$353=$I$3)*(危旧房屋改造项目分表!$O$6:$O$353="加面重建")*(危旧房屋改造项目分表!$V$6:$V$353&gt;=31%)*(危旧房屋改造项目分表!$V$6:$V$353&lt;=89%)*危旧房屋改造项目分表!$K$6:$K$353),"")</f>
        <v>0</v>
      </c>
      <c r="J45" s="130">
        <f>IFERROR(SUMPRODUCT((危旧房屋改造项目分表!$B$6:$B$353=$J$3)*(危旧房屋改造项目分表!$O$6:$O$353="加面重建")*(危旧房屋改造项目分表!$V$6:$V$353&gt;=31%)*(危旧房屋改造项目分表!$V$6:$V$353&lt;=89%)*危旧房屋改造项目分表!$K$6:$K$353),"")</f>
        <v>0</v>
      </c>
      <c r="K45" s="130">
        <f>IFERROR(SUMPRODUCT((危旧房屋改造项目分表!$B$6:$B$353=$K$3)*(危旧房屋改造项目分表!$O$6:$O$353="加面重建")*(危旧房屋改造项目分表!$V$6:$V$353&gt;=31%)*(危旧房屋改造项目分表!$V$6:$V$353&lt;=89%)*危旧房屋改造项目分表!$K$6:$K$353),"")</f>
        <v>0</v>
      </c>
      <c r="L45" s="130">
        <f>IFERROR(SUMPRODUCT((危旧房屋改造项目分表!$B$6:$B$353=$L$3)*(危旧房屋改造项目分表!$O$6:$O$353="加面重建")*(危旧房屋改造项目分表!$V$6:$V$353&gt;=31%)*(危旧房屋改造项目分表!$V$6:$V$353&lt;=89%)*危旧房屋改造项目分表!$K$6:$K$353),"")</f>
        <v>0</v>
      </c>
      <c r="M45" s="130">
        <f>SUM($D$45:$L$45)</f>
        <v>0</v>
      </c>
      <c r="N45" s="149">
        <f>IF(ISERROR(M45/$M$51),"",M45/$M$51)</f>
        <v>0</v>
      </c>
    </row>
    <row r="46" ht="15" customHeight="1" spans="1:14">
      <c r="A46" s="137"/>
      <c r="B46" s="140"/>
      <c r="C46" s="129" t="s">
        <v>19</v>
      </c>
      <c r="D46" s="130">
        <f>IFERROR(SUMPRODUCT((危旧房屋改造项目分表!$B$6:$B$353=$D$3)*(危旧房屋改造项目分表!$O$6:$O$353="加面重建")*(危旧房屋改造项目分表!$V$6:$V$353&gt;=31%)*(危旧房屋改造项目分表!$V$6:$V$353&lt;=89%)*危旧房屋改造项目分表!$L$6:$L$353),"")</f>
        <v>0</v>
      </c>
      <c r="E46" s="130">
        <f>IFERROR(SUMPRODUCT((危旧房屋改造项目分表!$B$6:$B$353=$F$3)*(危旧房屋改造项目分表!$O$6:$O$353="加面重建")*(危旧房屋改造项目分表!$V$6:$V$353&gt;=31%)*(危旧房屋改造项目分表!$V$6:$V$353&lt;=89%)*危旧房屋改造项目分表!$L$6:$L$353),"")</f>
        <v>0</v>
      </c>
      <c r="F46" s="130">
        <f>IFERROR(SUMPRODUCT((危旧房屋改造项目分表!$B$6:$B$353=$F$3)*(危旧房屋改造项目分表!$O$6:$O$353="加面重建")*(危旧房屋改造项目分表!$V$6:$V$353&gt;=31%)*(危旧房屋改造项目分表!$V$6:$V$353&lt;=89%)*危旧房屋改造项目分表!$L$6:$L$353),"")</f>
        <v>0</v>
      </c>
      <c r="G46" s="130">
        <f>IFERROR(SUMPRODUCT((危旧房屋改造项目分表!$B$6:$B$353=$G$3)*(危旧房屋改造项目分表!$O$6:$O$353="加面重建")*(危旧房屋改造项目分表!$V$6:$V$353&gt;=31%)*(危旧房屋改造项目分表!$V$6:$V$353&lt;=89%)*危旧房屋改造项目分表!$L$6:$L$353),"")</f>
        <v>0</v>
      </c>
      <c r="H46" s="130">
        <f>IFERROR(SUMPRODUCT((危旧房屋改造项目分表!$B$6:$B$353=$H$3)*(危旧房屋改造项目分表!$O$6:$O$353="加面重建")*(危旧房屋改造项目分表!$V$6:$V$353&gt;=31%)*(危旧房屋改造项目分表!$V$6:$V$353&lt;=89%)*危旧房屋改造项目分表!$L$6:$L$353),"")</f>
        <v>0</v>
      </c>
      <c r="I46" s="130">
        <f>IFERROR(SUMPRODUCT((危旧房屋改造项目分表!$B$6:$B$353=$I$3)*(危旧房屋改造项目分表!$O$6:$O$353="加面重建")*(危旧房屋改造项目分表!$V$6:$V$353&gt;=31%)*(危旧房屋改造项目分表!$V$6:$V$353&lt;=89%)*危旧房屋改造项目分表!$L$6:$L$353),"")</f>
        <v>0</v>
      </c>
      <c r="J46" s="130">
        <f>IFERROR(SUMPRODUCT((危旧房屋改造项目分表!$B$6:$B$353=$J$3)*(危旧房屋改造项目分表!$O$6:$O$353="加面重建")*(危旧房屋改造项目分表!$V$6:$V$353&gt;=31%)*(危旧房屋改造项目分表!$V$6:$V$353&lt;=89%)*危旧房屋改造项目分表!$L$6:$L$353),"")</f>
        <v>0</v>
      </c>
      <c r="K46" s="130">
        <f>IFERROR(SUMPRODUCT((危旧房屋改造项目分表!$B$6:$B$353=$K$3)*(危旧房屋改造项目分表!$O$6:$O$353="加面重建")*(危旧房屋改造项目分表!$V$6:$V$353&gt;=31%)*(危旧房屋改造项目分表!$V$6:$V$353&lt;=89%)*危旧房屋改造项目分表!$L$6:$L$353),"")</f>
        <v>0</v>
      </c>
      <c r="L46" s="130">
        <f>IFERROR(SUMPRODUCT((危旧房屋改造项目分表!$B$6:$B$353=$L$3)*(危旧房屋改造项目分表!$O$6:$O$353="加面重建")*(危旧房屋改造项目分表!$V$6:$V$353&gt;=31%)*(危旧房屋改造项目分表!$V$6:$V$353&lt;=89%)*危旧房屋改造项目分表!$L$6:$L$353),"")</f>
        <v>0</v>
      </c>
      <c r="M46" s="130">
        <f>SUM($D$46:$L$46)</f>
        <v>0</v>
      </c>
      <c r="N46" s="149">
        <f>IF(ISERROR(M46/$M$52),"",M46/$M$52)</f>
        <v>0</v>
      </c>
    </row>
    <row r="47" ht="15" customHeight="1" spans="1:14">
      <c r="A47" s="137"/>
      <c r="B47" s="140" t="s">
        <v>25</v>
      </c>
      <c r="C47" s="129" t="s">
        <v>17</v>
      </c>
      <c r="D47" s="130">
        <f>IFERROR(SUMPRODUCT((危旧房屋改造项目分表!$B$6:$B$353=$D$3)*(危旧房屋改造项目分表!$O$6:$O$353="加面重建")*(危旧房屋改造项目分表!$V$6:$V$353&gt;=90%)*危旧房屋改造项目分表!$AF$6:$AF$353),"")</f>
        <v>0</v>
      </c>
      <c r="E47" s="130">
        <f>IFERROR(SUMPRODUCT((危旧房屋改造项目分表!$B$6:$B$353=$E$3)*(危旧房屋改造项目分表!$O$6:$O$353="加面重建")*(危旧房屋改造项目分表!$V$6:$V$353&gt;=90%)*危旧房屋改造项目分表!$AF$6:$AF$353),"")</f>
        <v>0</v>
      </c>
      <c r="F47" s="130">
        <f>IFERROR(SUMPRODUCT((危旧房屋改造项目分表!$B$6:$B$353=$F$3)*(危旧房屋改造项目分表!$O$6:$O$353="加面重建")*(危旧房屋改造项目分表!$V$6:$V$353&gt;=90%)*危旧房屋改造项目分表!$AF$6:$AF$353),"")</f>
        <v>0</v>
      </c>
      <c r="G47" s="130">
        <f>IFERROR(SUMPRODUCT((危旧房屋改造项目分表!$B$6:$B$353=$G$3)*(危旧房屋改造项目分表!$O$6:$O$353="加面重建")*(危旧房屋改造项目分表!$V$6:$V$353&gt;=90%)*危旧房屋改造项目分表!$AF$6:$AF$353),"")</f>
        <v>0</v>
      </c>
      <c r="H47" s="130">
        <f>IFERROR(SUMPRODUCT((危旧房屋改造项目分表!$B$6:$B$353=$H$3)*(危旧房屋改造项目分表!$O$6:$O$353="加面重建")*(危旧房屋改造项目分表!$V$6:$V$353&gt;=90%)*危旧房屋改造项目分表!$AF$6:$AF$353),"")</f>
        <v>0</v>
      </c>
      <c r="I47" s="130">
        <f>IFERROR(SUMPRODUCT((危旧房屋改造项目分表!$B$6:$B$353=$I$3)*(危旧房屋改造项目分表!$O$6:$O$353="加面重建")*(危旧房屋改造项目分表!$V$6:$V$353&gt;=90%)*危旧房屋改造项目分表!$AF$6:$AF$353),"")</f>
        <v>0</v>
      </c>
      <c r="J47" s="130">
        <f>IFERROR(SUMPRODUCT((危旧房屋改造项目分表!$B$6:$B$353=$J$3)*(危旧房屋改造项目分表!$O$6:$O$353="加面重建")*(危旧房屋改造项目分表!$V$6:$V$353&gt;=90%)*危旧房屋改造项目分表!$AF$6:$AF$353),"")</f>
        <v>0</v>
      </c>
      <c r="K47" s="130">
        <f>IFERROR(SUMPRODUCT((危旧房屋改造项目分表!$B$6:$B$353=$K$3)*(危旧房屋改造项目分表!$O$6:$O$353="加面重建")*(危旧房屋改造项目分表!$V$6:$V$353&gt;=90%)*危旧房屋改造项目分表!$AF$6:$AF$353),"")</f>
        <v>0</v>
      </c>
      <c r="L47" s="130">
        <f>IFERROR(SUMPRODUCT((危旧房屋改造项目分表!$B$6:$B$353=$L$3)*(危旧房屋改造项目分表!$O$6:$O$353="加面重建")*(危旧房屋改造项目分表!$V$6:$V$353&gt;=90%)*危旧房屋改造项目分表!$AF$6:$AF$353),"")</f>
        <v>0</v>
      </c>
      <c r="M47" s="130">
        <f>SUM($D$47:$L$47)</f>
        <v>0</v>
      </c>
      <c r="N47" s="149">
        <f>IF(ISERROR(M47/$M$50),"",M47/$M$50)</f>
        <v>0</v>
      </c>
    </row>
    <row r="48" ht="15" customHeight="1" spans="1:14">
      <c r="A48" s="137"/>
      <c r="B48" s="140"/>
      <c r="C48" s="129" t="s">
        <v>18</v>
      </c>
      <c r="D48" s="130">
        <f>IFERROR(SUMPRODUCT((危旧房屋改造项目分表!$B$6:$B$353=$D$3)*(危旧房屋改造项目分表!$O$6:$O$353="加面重建")*(危旧房屋改造项目分表!$V$6:$V$353&gt;=90%)*危旧房屋改造项目分表!$K$6:$K$353),"")</f>
        <v>0</v>
      </c>
      <c r="E48" s="130">
        <f>IFERROR(SUMPRODUCT((危旧房屋改造项目分表!$B$6:$B$353=$E$3)*(危旧房屋改造项目分表!$O$6:$O$353="加面重建")*(危旧房屋改造项目分表!$V$6:$V$353&gt;=90%)*危旧房屋改造项目分表!$K$6:$K$353),"")</f>
        <v>0</v>
      </c>
      <c r="F48" s="130">
        <f>IFERROR(SUMPRODUCT((危旧房屋改造项目分表!$B$6:$B$353=$F$3)*(危旧房屋改造项目分表!$O$6:$O$353="加面重建")*(危旧房屋改造项目分表!$V$6:$V$353&gt;=90%)*危旧房屋改造项目分表!$K$6:$K$353),"")</f>
        <v>0</v>
      </c>
      <c r="G48" s="130">
        <f>IFERROR(SUMPRODUCT((危旧房屋改造项目分表!$B$6:$B$353=$G$3)*(危旧房屋改造项目分表!$O$6:$O$353="加面重建")*(危旧房屋改造项目分表!$V$6:$V$353&gt;=90%)*危旧房屋改造项目分表!$K$6:$K$353),"")</f>
        <v>0</v>
      </c>
      <c r="H48" s="130">
        <f>IFERROR(SUMPRODUCT((危旧房屋改造项目分表!$B$6:$B$353=$H$3)*(危旧房屋改造项目分表!$O$6:$O$353="加面重建")*(危旧房屋改造项目分表!$V$6:$V$353&gt;=90%)*危旧房屋改造项目分表!$K$6:$K$353),"")</f>
        <v>0</v>
      </c>
      <c r="I48" s="130">
        <f>IFERROR(SUMPRODUCT((危旧房屋改造项目分表!$B$6:$B$353=$I$3)*(危旧房屋改造项目分表!$O$6:$O$353="加面重建")*(危旧房屋改造项目分表!$V$6:$V$353&gt;=90%)*危旧房屋改造项目分表!$K$6:$K$353),"")</f>
        <v>0</v>
      </c>
      <c r="J48" s="130">
        <f>IFERROR(SUMPRODUCT((危旧房屋改造项目分表!$B$6:$B$353=$J$3)*(危旧房屋改造项目分表!$O$6:$O$353="加面重建")*(危旧房屋改造项目分表!$V$6:$V$353&gt;=90%)*危旧房屋改造项目分表!$K$6:$K$353),"")</f>
        <v>0</v>
      </c>
      <c r="K48" s="130">
        <f>IFERROR(SUMPRODUCT((危旧房屋改造项目分表!$B$6:$B$353=$K$3)*(危旧房屋改造项目分表!$O$6:$O$353="加面重建")*(危旧房屋改造项目分表!$V$6:$V$353&gt;=90%)*危旧房屋改造项目分表!$K$6:$K$353),"")</f>
        <v>0</v>
      </c>
      <c r="L48" s="130">
        <f>IFERROR(SUMPRODUCT((危旧房屋改造项目分表!$B$6:$B$353=$L$3)*(危旧房屋改造项目分表!$O$6:$O$353="加面重建")*(危旧房屋改造项目分表!$V$6:$V$353&gt;=90%)*危旧房屋改造项目分表!$K$6:$K$353),"")</f>
        <v>0</v>
      </c>
      <c r="M48" s="130">
        <f>SUM($D$48:$L$48)</f>
        <v>0</v>
      </c>
      <c r="N48" s="149">
        <f>IF(ISERROR(M48/$M$51),"",M48/$M$51)</f>
        <v>0</v>
      </c>
    </row>
    <row r="49" ht="15" customHeight="1" spans="1:14">
      <c r="A49" s="137"/>
      <c r="B49" s="140"/>
      <c r="C49" s="129" t="s">
        <v>19</v>
      </c>
      <c r="D49" s="130">
        <f>IFERROR(SUMPRODUCT((危旧房屋改造项目分表!$B$6:$B$353=$D$3)*(危旧房屋改造项目分表!$O$6:$O$353="加面重建")*(危旧房屋改造项目分表!$V$6:$V$353&gt;=90%)*危旧房屋改造项目分表!$L$6:$L$353),"")</f>
        <v>0</v>
      </c>
      <c r="E49" s="130">
        <f>IFERROR(SUMPRODUCT((危旧房屋改造项目分表!$B$6:$B$353=$E$3)*(危旧房屋改造项目分表!$O$6:$O$353="加面重建")*(危旧房屋改造项目分表!$V$6:$V$353&gt;=90%)*危旧房屋改造项目分表!$L$6:$L$353),"")</f>
        <v>0</v>
      </c>
      <c r="F49" s="130">
        <f>IFERROR(SUMPRODUCT((危旧房屋改造项目分表!$B$6:$B$353=$F$3)*(危旧房屋改造项目分表!$O$6:$O$353="加面重建")*(危旧房屋改造项目分表!$V$6:$V$353&gt;=90%)*危旧房屋改造项目分表!$L$6:$L$353),"")</f>
        <v>0</v>
      </c>
      <c r="G49" s="130">
        <f>IFERROR(SUMPRODUCT((危旧房屋改造项目分表!$B$6:$B$353=$G$3)*(危旧房屋改造项目分表!$O$6:$O$353="加面重建")*(危旧房屋改造项目分表!$V$6:$V$353&gt;=90%)*危旧房屋改造项目分表!$L$6:$L$353),"")</f>
        <v>0</v>
      </c>
      <c r="H49" s="130">
        <f>IFERROR(SUMPRODUCT((危旧房屋改造项目分表!$B$6:$B$353=$H$3)*(危旧房屋改造项目分表!$O$6:$O$353="加面重建")*(危旧房屋改造项目分表!$V$6:$V$353&gt;=90%)*危旧房屋改造项目分表!$L$6:$L$353),"")</f>
        <v>0</v>
      </c>
      <c r="I49" s="130">
        <f>IFERROR(SUMPRODUCT((危旧房屋改造项目分表!$B$6:$B$353=$I$3)*(危旧房屋改造项目分表!$O$6:$O$353="加面重建")*(危旧房屋改造项目分表!$V$6:$V$353&gt;=90%)*危旧房屋改造项目分表!$L$6:$L$353),"")</f>
        <v>0</v>
      </c>
      <c r="J49" s="130">
        <f>IFERROR(SUMPRODUCT((危旧房屋改造项目分表!$B$6:$B$353=$J$3)*(危旧房屋改造项目分表!$O$6:$O$353="加面重建")*(危旧房屋改造项目分表!$V$6:$V$353&gt;=90%)*危旧房屋改造项目分表!$L$6:$L$353),"")</f>
        <v>0</v>
      </c>
      <c r="K49" s="130">
        <f>IFERROR(SUMPRODUCT((危旧房屋改造项目分表!$B$6:$B$353=$K$3)*(危旧房屋改造项目分表!$O$6:$O$353="加面重建")*(危旧房屋改造项目分表!$V$6:$V$353&gt;=90%)*危旧房屋改造项目分表!$L$6:$L$353),"")</f>
        <v>0</v>
      </c>
      <c r="L49" s="130">
        <f>IFERROR(SUMPRODUCT((危旧房屋改造项目分表!$B$6:$B$353=$L$3)*(危旧房屋改造项目分表!$O$6:$O$353="加面重建")*(危旧房屋改造项目分表!$V$6:$V$353&gt;=90%)*危旧房屋改造项目分表!$L$6:$L$353),"")</f>
        <v>0</v>
      </c>
      <c r="M49" s="130">
        <f>SUM($D$49:$L$49)</f>
        <v>0</v>
      </c>
      <c r="N49" s="149">
        <f>IF(ISERROR(M49/$M$52),"",M49/$M$52)</f>
        <v>0</v>
      </c>
    </row>
    <row r="50" ht="15" customHeight="1" spans="1:14">
      <c r="A50" s="137"/>
      <c r="B50" s="129" t="s">
        <v>26</v>
      </c>
      <c r="C50" s="129" t="s">
        <v>17</v>
      </c>
      <c r="D50" s="141">
        <f t="shared" ref="D50:L50" si="5">D41+D44+D47+D38</f>
        <v>1</v>
      </c>
      <c r="E50" s="141">
        <f t="shared" si="5"/>
        <v>4</v>
      </c>
      <c r="F50" s="141">
        <f t="shared" si="5"/>
        <v>0</v>
      </c>
      <c r="G50" s="141">
        <f t="shared" si="5"/>
        <v>5</v>
      </c>
      <c r="H50" s="141">
        <f t="shared" si="5"/>
        <v>0</v>
      </c>
      <c r="I50" s="141">
        <f t="shared" si="5"/>
        <v>0</v>
      </c>
      <c r="J50" s="141">
        <f t="shared" si="5"/>
        <v>0</v>
      </c>
      <c r="K50" s="141">
        <f t="shared" si="5"/>
        <v>0</v>
      </c>
      <c r="L50" s="141">
        <f t="shared" si="5"/>
        <v>0</v>
      </c>
      <c r="M50" s="130">
        <f>SUM($D$50:$L$50)</f>
        <v>10</v>
      </c>
      <c r="N50" s="149">
        <f>IF(ISERROR(M50/$M$4),"",M50/$M$4)</f>
        <v>0.028735632183908</v>
      </c>
    </row>
    <row r="51" ht="15" customHeight="1" spans="1:14">
      <c r="A51" s="137"/>
      <c r="B51" s="129"/>
      <c r="C51" s="129" t="s">
        <v>18</v>
      </c>
      <c r="D51" s="141">
        <f t="shared" ref="D51:L51" si="6">D42+D45+D48+D39</f>
        <v>1</v>
      </c>
      <c r="E51" s="141">
        <f t="shared" si="6"/>
        <v>28</v>
      </c>
      <c r="F51" s="141">
        <f t="shared" si="6"/>
        <v>0</v>
      </c>
      <c r="G51" s="141">
        <f t="shared" si="6"/>
        <v>15</v>
      </c>
      <c r="H51" s="141">
        <f t="shared" si="6"/>
        <v>0</v>
      </c>
      <c r="I51" s="141">
        <f t="shared" si="6"/>
        <v>0</v>
      </c>
      <c r="J51" s="141">
        <f t="shared" si="6"/>
        <v>0</v>
      </c>
      <c r="K51" s="141">
        <f t="shared" si="6"/>
        <v>0</v>
      </c>
      <c r="L51" s="141">
        <f t="shared" si="6"/>
        <v>0</v>
      </c>
      <c r="M51" s="130">
        <f>SUM($D$51:$L$51)</f>
        <v>44</v>
      </c>
      <c r="N51" s="149">
        <f>IF(ISERROR(M51/$M$5),"",M51/$M$5)</f>
        <v>0.0121816168327796</v>
      </c>
    </row>
    <row r="52" ht="15" customHeight="1" spans="1:14">
      <c r="A52" s="142"/>
      <c r="B52" s="129"/>
      <c r="C52" s="129" t="s">
        <v>19</v>
      </c>
      <c r="D52" s="141">
        <f t="shared" ref="D52:L52" si="7">D43+D46+D49+D40</f>
        <v>239.3</v>
      </c>
      <c r="E52" s="141">
        <f t="shared" si="7"/>
        <v>938.17</v>
      </c>
      <c r="F52" s="141">
        <f t="shared" si="7"/>
        <v>0</v>
      </c>
      <c r="G52" s="141">
        <f t="shared" si="7"/>
        <v>523.17</v>
      </c>
      <c r="H52" s="141">
        <f t="shared" si="7"/>
        <v>0</v>
      </c>
      <c r="I52" s="141">
        <f t="shared" si="7"/>
        <v>0</v>
      </c>
      <c r="J52" s="141">
        <f t="shared" si="7"/>
        <v>0</v>
      </c>
      <c r="K52" s="141">
        <f t="shared" si="7"/>
        <v>0</v>
      </c>
      <c r="L52" s="141">
        <f t="shared" si="7"/>
        <v>0</v>
      </c>
      <c r="M52" s="130">
        <f>SUM($D$52:$L$52)</f>
        <v>1700.64</v>
      </c>
      <c r="N52" s="149">
        <f>IF(ISERROR(M52/$M$6),"",M52/$M$6)</f>
        <v>0.00969815474220686</v>
      </c>
    </row>
    <row r="53" ht="15.6" customHeight="1" spans="1:14">
      <c r="A53" s="144" t="s">
        <v>29</v>
      </c>
      <c r="B53" s="140" t="s">
        <v>22</v>
      </c>
      <c r="C53" s="129" t="s">
        <v>17</v>
      </c>
      <c r="D53" s="130">
        <f>IFERROR(SUMPRODUCT((危旧房屋改造项目分表!$B$6:$B$353=$D$3)*(危旧房屋改造项目分表!$O$6:$O$353="棚改征收")*(危旧房屋改造项目分表!$V$6:$V$353&lt;=10%)*危旧房屋改造项目分表!$AF$6:$AF$353),"")+SUMPRODUCT((危旧房屋改造项目分表!$B$6:$B$353=$D$3)*(危旧房屋改造项目分表!$O$6:$O$353="拆除补偿")*(危旧房屋改造项目分表!$V$6:$V$353&lt;=10%)*危旧房屋改造项目分表!$AF$6:$AF$353)</f>
        <v>0</v>
      </c>
      <c r="E53" s="130">
        <f>IFERROR(SUMPRODUCT((危旧房屋改造项目分表!$B$6:$B$353=$E$3)*(危旧房屋改造项目分表!$O$6:$O$353="棚改征收")*(危旧房屋改造项目分表!$V$6:$V$353&lt;=10%)*危旧房屋改造项目分表!$AF$6:$AF$353),"")+SUMPRODUCT((危旧房屋改造项目分表!$B$6:$B$353=$E$3)*(危旧房屋改造项目分表!$O$6:$O$353="拆除补偿")*(危旧房屋改造项目分表!$V$6:$V$353&lt;=10%)*危旧房屋改造项目分表!$AF$6:$AF$353)</f>
        <v>21</v>
      </c>
      <c r="F53" s="130">
        <f>IFERROR(SUMPRODUCT((危旧房屋改造项目分表!$B$6:$B$353=$F$3)*(危旧房屋改造项目分表!$O$6:$O$353="棚改征收")*(危旧房屋改造项目分表!$V$6:$V$353&lt;=10%)*危旧房屋改造项目分表!$AF$6:$AF$353),"")+SUMPRODUCT((危旧房屋改造项目分表!$B$6:$B$353=$F$3)*(危旧房屋改造项目分表!$O$6:$O$353="拆除补偿")*(危旧房屋改造项目分表!$V$6:$V$353&lt;=10%)*危旧房屋改造项目分表!$AF$6:$AF$353)</f>
        <v>0</v>
      </c>
      <c r="G53" s="130">
        <f>IFERROR(SUMPRODUCT((危旧房屋改造项目分表!$B$6:$B$353=$G$3)*(危旧房屋改造项目分表!$O$6:$O$353="棚改征收")*(危旧房屋改造项目分表!$V$6:$V$353&lt;=10%)*危旧房屋改造项目分表!$AF$6:$AF$353),"")+SUMPRODUCT((危旧房屋改造项目分表!$B$6:$B$353=$G$3)*(危旧房屋改造项目分表!$O$6:$O$353="拆除补偿")*(危旧房屋改造项目分表!$V$6:$V$353&lt;=10%)*危旧房屋改造项目分表!$AF$6:$AF$353)</f>
        <v>21</v>
      </c>
      <c r="H53" s="130">
        <f>IFERROR(SUMPRODUCT((危旧房屋改造项目分表!$B$6:$B$353=$H$3)*(危旧房屋改造项目分表!$O$6:$O$353="棚改征收")*(危旧房屋改造项目分表!$V$6:$V$353&lt;=10%)*危旧房屋改造项目分表!$AF$6:$AF$353),"")+SUMPRODUCT((危旧房屋改造项目分表!$B$6:$B$353=$H$3)*(危旧房屋改造项目分表!$O$6:$O$353="拆除补偿")*(危旧房屋改造项目分表!$V$6:$V$353&lt;=10%)*危旧房屋改造项目分表!$AF$6:$AF$353)</f>
        <v>18</v>
      </c>
      <c r="I53" s="130">
        <f>IFERROR(SUMPRODUCT((危旧房屋改造项目分表!$B$6:$B$353=$I$3)*(危旧房屋改造项目分表!$O$6:$O$353="棚改征收")*(危旧房屋改造项目分表!$V$6:$V$353&lt;=10%)*危旧房屋改造项目分表!$AF$6:$AF$353),"")+SUMPRODUCT((危旧房屋改造项目分表!$B$6:$B$353=$I$3)*(危旧房屋改造项目分表!$O$6:$O$353="拆除补偿")*(危旧房屋改造项目分表!$V$6:$V$353&lt;=10%)*危旧房屋改造项目分表!$AF$6:$AF$353)</f>
        <v>0</v>
      </c>
      <c r="J53" s="130">
        <f>IFERROR(SUMPRODUCT((危旧房屋改造项目分表!$B$6:$B$353=$J$3)*(危旧房屋改造项目分表!$O$6:$O$353="棚改征收")*(危旧房屋改造项目分表!$V$6:$V$353&lt;=10%)*危旧房屋改造项目分表!$AF$6:$AF$353),"")+SUMPRODUCT((危旧房屋改造项目分表!$B$6:$B$353=$J$3)*(危旧房屋改造项目分表!$O$6:$O$353="拆除补偿")*(危旧房屋改造项目分表!$V$6:$V$353&lt;=10%)*危旧房屋改造项目分表!$AF$6:$AF$353)</f>
        <v>0</v>
      </c>
      <c r="K53" s="130">
        <f>IFERROR(SUMPRODUCT((危旧房屋改造项目分表!$B$6:$B$353=$K$3)*(危旧房屋改造项目分表!$O$6:$O$353="棚改征收")*(危旧房屋改造项目分表!$V$6:$V$353&lt;=10%)*危旧房屋改造项目分表!$AF$6:$AF$353),"")+SUMPRODUCT((危旧房屋改造项目分表!$B$6:$B$353=$K$3)*(危旧房屋改造项目分表!$O$6:$O$353="拆除补偿")*(危旧房屋改造项目分表!$V$6:$V$353&lt;=10%)*危旧房屋改造项目分表!$AF$6:$AF$353)</f>
        <v>0</v>
      </c>
      <c r="L53" s="130">
        <f>IFERROR(SUMPRODUCT((危旧房屋改造项目分表!$B$6:$B$353=$L$3)*(危旧房屋改造项目分表!$O$6:$O$353="棚改征收")*(危旧房屋改造项目分表!$V$6:$V$353&lt;=10%)*危旧房屋改造项目分表!$AF$6:$AF$353),"")+SUMPRODUCT((危旧房屋改造项目分表!$B$6:$B$353=$L$3)*(危旧房屋改造项目分表!$O$6:$O$353="拆除补偿")*(危旧房屋改造项目分表!$V$6:$V$353&lt;=10%)*危旧房屋改造项目分表!$AF$6:$AF$353)</f>
        <v>0</v>
      </c>
      <c r="M53" s="130">
        <f>SUM($D$53:$L$53)</f>
        <v>60</v>
      </c>
      <c r="N53" s="149">
        <f>IF(ISERROR(M53/$M$65),"",M53/$M$65)</f>
        <v>1</v>
      </c>
    </row>
    <row r="54" ht="15.6" customHeight="1" spans="1:14">
      <c r="A54" s="145"/>
      <c r="B54" s="140"/>
      <c r="C54" s="129" t="s">
        <v>18</v>
      </c>
      <c r="D54" s="130">
        <f>IFERROR(SUMPRODUCT((危旧房屋改造项目分表!$B$6:$B$353=$D$3)*(危旧房屋改造项目分表!$O$6:$O$353="棚改征收")*(危旧房屋改造项目分表!$V$6:$V$353&lt;=10%)*危旧房屋改造项目分表!$K$6:$K$353),"")+SUMPRODUCT((危旧房屋改造项目分表!$B$6:$B$353=$D$3)*(危旧房屋改造项目分表!$O$6:$O$353="拆除补偿")*(危旧房屋改造项目分表!$V$6:$V$353&lt;=10%)*危旧房屋改造项目分表!$K$6:$K$353)</f>
        <v>0</v>
      </c>
      <c r="E54" s="130">
        <f>IFERROR(SUMPRODUCT((危旧房屋改造项目分表!$B$6:$B$353=$E$3)*(危旧房屋改造项目分表!$O$6:$O$353="棚改征收")*(危旧房屋改造项目分表!$V$6:$V$353&lt;=10%)*危旧房屋改造项目分表!$K$6:$K$353),"")+SUMPRODUCT((危旧房屋改造项目分表!$B$6:$B$353=$E$3)*(危旧房屋改造项目分表!$O$6:$O$353="拆除补偿")*(危旧房屋改造项目分表!$V$6:$V$353&lt;=10%)*危旧房屋改造项目分表!$K$6:$K$353)</f>
        <v>587</v>
      </c>
      <c r="F54" s="130">
        <f>IFERROR(SUMPRODUCT((危旧房屋改造项目分表!$B$6:$B$353=$F$3)*(危旧房屋改造项目分表!$O$6:$O$353="棚改征收")*(危旧房屋改造项目分表!$V$6:$V$353&lt;=10%)*危旧房屋改造项目分表!$K$6:$K$353),"")+SUMPRODUCT((危旧房屋改造项目分表!$B$6:$B$353=$F$3)*(危旧房屋改造项目分表!$O$6:$O$353="拆除补偿")*(危旧房屋改造项目分表!$V$6:$V$353&lt;=10%)*危旧房屋改造项目分表!$K$6:$K$353)</f>
        <v>0</v>
      </c>
      <c r="G54" s="130">
        <f>IFERROR(SUMPRODUCT((危旧房屋改造项目分表!$B$6:$B$353=$G$3)*(危旧房屋改造项目分表!$O$6:$O$353="棚改征收")*(危旧房屋改造项目分表!$V$6:$V$353&lt;=10%)*危旧房屋改造项目分表!$K$6:$K$353),"")+SUMPRODUCT((危旧房屋改造项目分表!$B$6:$B$353=$G$3)*(危旧房屋改造项目分表!$O$6:$O$353="拆除补偿")*(危旧房屋改造项目分表!$V$6:$V$353&lt;=10%)*危旧房屋改造项目分表!$K$6:$K$353)</f>
        <v>103</v>
      </c>
      <c r="H54" s="130">
        <f>IFERROR(SUMPRODUCT((危旧房屋改造项目分表!$B$6:$B$353=$H$3)*(危旧房屋改造项目分表!$O$6:$O$353="棚改征收")*(危旧房屋改造项目分表!$V$6:$V$353&lt;=10%)*危旧房屋改造项目分表!$K$6:$K$353),"")+SUMPRODUCT((危旧房屋改造项目分表!$B$6:$B$353=$H$3)*(危旧房屋改造项目分表!$O$6:$O$353="拆除补偿")*(危旧房屋改造项目分表!$V$6:$V$353&lt;=10%)*危旧房屋改造项目分表!$K$6:$K$353)</f>
        <v>595</v>
      </c>
      <c r="I54" s="130">
        <f>IFERROR(SUMPRODUCT((危旧房屋改造项目分表!$B$6:$B$353=$I$3)*(危旧房屋改造项目分表!$O$6:$O$353="棚改征收")*(危旧房屋改造项目分表!$V$6:$V$353&lt;=10%)*危旧房屋改造项目分表!$K$6:$K$353),"")+SUMPRODUCT((危旧房屋改造项目分表!$B$6:$B$353=$I$3)*(危旧房屋改造项目分表!$O$6:$O$353="拆除补偿")*(危旧房屋改造项目分表!$V$6:$V$353&lt;=10%)*危旧房屋改造项目分表!$K$6:$K$353)</f>
        <v>0</v>
      </c>
      <c r="J54" s="130">
        <f>IFERROR(SUMPRODUCT((危旧房屋改造项目分表!$B$6:$B$353=$J$3)*(危旧房屋改造项目分表!$O$6:$O$353="棚改征收")*(危旧房屋改造项目分表!$V$6:$V$353&lt;=10%)*危旧房屋改造项目分表!$K$6:$K$353),"")+SUMPRODUCT((危旧房屋改造项目分表!$B$6:$B$353=$J$3)*(危旧房屋改造项目分表!$O$6:$O$353="拆除补偿")*(危旧房屋改造项目分表!$V$6:$V$353&lt;=10%)*危旧房屋改造项目分表!$K$6:$K$353)</f>
        <v>0</v>
      </c>
      <c r="K54" s="130">
        <f>IFERROR(SUMPRODUCT((危旧房屋改造项目分表!$B$6:$B$353=$K$3)*(危旧房屋改造项目分表!$O$6:$O$353="棚改征收")*(危旧房屋改造项目分表!$V$6:$V$353&lt;=10%)*危旧房屋改造项目分表!$K$6:$K$353),"")+SUMPRODUCT((危旧房屋改造项目分表!$B$6:$B$353=$K$3)*(危旧房屋改造项目分表!$O$6:$O$353="拆除补偿")*(危旧房屋改造项目分表!$V$6:$V$353&lt;=10%)*危旧房屋改造项目分表!$K$6:$K$353)</f>
        <v>0</v>
      </c>
      <c r="L54" s="130">
        <f>IFERROR(SUMPRODUCT((危旧房屋改造项目分表!$B$6:$B$353=$L$3)*(危旧房屋改造项目分表!$O$6:$O$353="棚改征收")*(危旧房屋改造项目分表!$V$6:$V$353&lt;=10%)*危旧房屋改造项目分表!$K$6:$K$353),"")+SUMPRODUCT((危旧房屋改造项目分表!$B$6:$B$353=$L$3)*(危旧房屋改造项目分表!$O$6:$O$353="拆除补偿")*(危旧房屋改造项目分表!$V$6:$V$353&lt;=10%)*危旧房屋改造项目分表!$K$6:$K$353)</f>
        <v>0</v>
      </c>
      <c r="M54" s="130">
        <f>SUM($D$54:$L$54)</f>
        <v>1285</v>
      </c>
      <c r="N54" s="149">
        <f>IF(ISERROR(M54/$M$66),"",M54/$M$66)</f>
        <v>1</v>
      </c>
    </row>
    <row r="55" ht="15.6" customHeight="1" spans="1:14">
      <c r="A55" s="145"/>
      <c r="B55" s="140"/>
      <c r="C55" s="129" t="s">
        <v>19</v>
      </c>
      <c r="D55" s="130">
        <f>IFERROR(SUMPRODUCT((危旧房屋改造项目分表!$B$6:$B$353=$D$3)*(危旧房屋改造项目分表!$O$6:$O$353="棚改征收")*(危旧房屋改造项目分表!$V$6:$V$353&lt;=10%)*危旧房屋改造项目分表!$L$6:$L$353),"")+SUMPRODUCT((危旧房屋改造项目分表!$B$6:$B$353=$D$3)*(危旧房屋改造项目分表!$O$6:$O$353="拆除补偿")*(危旧房屋改造项目分表!$V$6:$V$353&lt;=10%)*危旧房屋改造项目分表!$L$6:$L$353)</f>
        <v>0</v>
      </c>
      <c r="E55" s="130">
        <f>IFERROR(SUMPRODUCT((危旧房屋改造项目分表!$B$6:$B$353=$E$3)*(危旧房屋改造项目分表!$O$6:$O$353="棚改征收")*(危旧房屋改造项目分表!$V$6:$V$353&lt;=10%)*危旧房屋改造项目分表!$L$6:$L$353),"")+SUMPRODUCT((危旧房屋改造项目分表!$B$6:$B$353=$E$3)*(危旧房屋改造项目分表!$O$6:$O$353="拆除补偿")*(危旧房屋改造项目分表!$V$6:$V$353&lt;=10%)*危旧房屋改造项目分表!$L$6:$L$353)</f>
        <v>24219.77</v>
      </c>
      <c r="F55" s="130">
        <f>IFERROR(SUMPRODUCT((危旧房屋改造项目分表!$B$6:$B$353=$F$3)*(危旧房屋改造项目分表!$O$6:$O$353="棚改征收")*(危旧房屋改造项目分表!$V$6:$V$353&lt;=10%)*危旧房屋改造项目分表!$L$6:$L$353),"")+SUMPRODUCT((危旧房屋改造项目分表!$B$6:$B$353=$F$3)*(危旧房屋改造项目分表!$O$6:$O$353="拆除补偿")*(危旧房屋改造项目分表!$V$6:$V$353&lt;=10%)*危旧房屋改造项目分表!$L$6:$L$353)</f>
        <v>0</v>
      </c>
      <c r="G55" s="130">
        <f>IFERROR(SUMPRODUCT((危旧房屋改造项目分表!$B$6:$B$353=$G$3)*(危旧房屋改造项目分表!$O$6:$O$353="棚改征收")*(危旧房屋改造项目分表!$V$6:$V$353&lt;=10%)*危旧房屋改造项目分表!$L$6:$L$353),"")+SUMPRODUCT((危旧房屋改造项目分表!$B$6:$B$353=$G$3)*(危旧房屋改造项目分表!$O$6:$O$353="拆除补偿")*(危旧房屋改造项目分表!$V$6:$V$353&lt;=10%)*危旧房屋改造项目分表!$L$6:$L$353)</f>
        <v>5708.7</v>
      </c>
      <c r="H55" s="130">
        <f>IFERROR(SUMPRODUCT((危旧房屋改造项目分表!$B$6:$B$353=$H$3)*(危旧房屋改造项目分表!$O$6:$O$353="棚改征收")*(危旧房屋改造项目分表!$V$6:$V$353&lt;=10%)*危旧房屋改造项目分表!$L$6:$L$353),"")+SUMPRODUCT((危旧房屋改造项目分表!$B$6:$B$353=$H$3)*(危旧房屋改造项目分表!$O$6:$O$353="拆除补偿")*(危旧房屋改造项目分表!$V$6:$V$353&lt;=10%)*危旧房屋改造项目分表!$L$6:$L$353)</f>
        <v>22057.04</v>
      </c>
      <c r="I55" s="130">
        <f>IFERROR(SUMPRODUCT((危旧房屋改造项目分表!$B$6:$B$353=$I$3)*(危旧房屋改造项目分表!$O$6:$O$353="棚改征收")*(危旧房屋改造项目分表!$V$6:$V$353&lt;=10%)*危旧房屋改造项目分表!$L$6:$L$353),"")+SUMPRODUCT((危旧房屋改造项目分表!$B$6:$B$353=$I$3)*(危旧房屋改造项目分表!$O$6:$O$353="拆除补偿")*(危旧房屋改造项目分表!$V$6:$V$353&lt;=10%)*危旧房屋改造项目分表!$L$6:$L$353)</f>
        <v>0</v>
      </c>
      <c r="J55" s="130">
        <f>IFERROR(SUMPRODUCT((危旧房屋改造项目分表!$B$6:$B$353=$J$3)*(危旧房屋改造项目分表!$O$6:$O$353="棚改征收")*(危旧房屋改造项目分表!$V$6:$V$353&lt;=10%)*危旧房屋改造项目分表!$L$6:$L$353),"")+SUMPRODUCT((危旧房屋改造项目分表!$B$6:$B$353=$J$3)*(危旧房屋改造项目分表!$O$6:$O$353="拆除补偿")*(危旧房屋改造项目分表!$V$6:$V$353&lt;=10%)*危旧房屋改造项目分表!$L$6:$L$353)</f>
        <v>0</v>
      </c>
      <c r="K55" s="130">
        <f>IFERROR(SUMPRODUCT((危旧房屋改造项目分表!$B$6:$B$353=$K$3)*(危旧房屋改造项目分表!$O$6:$O$353="棚改征收")*(危旧房屋改造项目分表!$V$6:$V$353&lt;=10%)*危旧房屋改造项目分表!$L$6:$L$353),"")+SUMPRODUCT((危旧房屋改造项目分表!$B$6:$B$353=$K$3)*(危旧房屋改造项目分表!$O$6:$O$353="拆除补偿")*(危旧房屋改造项目分表!$V$6:$V$353&lt;=10%)*危旧房屋改造项目分表!$L$6:$L$353)</f>
        <v>0</v>
      </c>
      <c r="L55" s="130">
        <f>IFERROR(SUMPRODUCT((危旧房屋改造项目分表!$B$6:$B$353=$L$3)*(危旧房屋改造项目分表!$O$6:$O$353="棚改征收")*(危旧房屋改造项目分表!$V$6:$V$353&lt;=10%)*危旧房屋改造项目分表!$L$6:$L$353),"")+SUMPRODUCT((危旧房屋改造项目分表!$B$6:$B$353=$L$3)*(危旧房屋改造项目分表!$O$6:$O$353="拆除补偿")*(危旧房屋改造项目分表!$V$6:$V$353&lt;=10%)*危旧房屋改造项目分表!$L$6:$L$353)</f>
        <v>0</v>
      </c>
      <c r="M55" s="130">
        <f>SUM($D$55:$L$55)</f>
        <v>51985.51</v>
      </c>
      <c r="N55" s="149">
        <f>IF(ISERROR(M55/$M$67),"",M55/$M$67)</f>
        <v>1</v>
      </c>
    </row>
    <row r="56" ht="15.6" customHeight="1" spans="1:14">
      <c r="A56" s="145"/>
      <c r="B56" s="129" t="s">
        <v>30</v>
      </c>
      <c r="C56" s="129" t="s">
        <v>17</v>
      </c>
      <c r="D56" s="130">
        <f>IFERROR(SUMPRODUCT((危旧房屋改造项目分表!$B$6:$B$353=$D$3)*(危旧房屋改造项目分表!$O$6:$O$353="棚改征收")*(危旧房屋改造项目分表!$V$6:$V$353&gt;=11%)*(危旧房屋改造项目分表!$V$6:$V$353&lt;=60%)*危旧房屋改造项目分表!$AF$6:$AF$353),"")+SUMPRODUCT((危旧房屋改造项目分表!$B$6:$B$353=$D$3)*(危旧房屋改造项目分表!$O$6:$O$353="拆除补偿")*(危旧房屋改造项目分表!$V$6:$V$353&gt;=11%)*(危旧房屋改造项目分表!$V$6:$V$353&lt;=60%)*危旧房屋改造项目分表!$AF$6:$AF$353)</f>
        <v>0</v>
      </c>
      <c r="E56" s="130">
        <f>IFERROR(SUMPRODUCT((危旧房屋改造项目分表!$B$6:$B$353=$E$3)*(危旧房屋改造项目分表!$O$6:$O$353="棚改征收")*(危旧房屋改造项目分表!$V$6:$V$353&gt;=11%)*(危旧房屋改造项目分表!$V$6:$V$353&lt;=60%)*危旧房屋改造项目分表!$AF$6:$AF$353),"")+SUMPRODUCT((危旧房屋改造项目分表!$B$6:$B$353=$E$3)*(危旧房屋改造项目分表!$O$6:$O$353="拆除补偿")*(危旧房屋改造项目分表!$V$6:$V$353&gt;=11%)*(危旧房屋改造项目分表!$V$6:$V$353&lt;=60%)*危旧房屋改造项目分表!$AF$6:$AF$353)</f>
        <v>0</v>
      </c>
      <c r="F56" s="130">
        <f>IFERROR(SUMPRODUCT((危旧房屋改造项目分表!$B$6:$B$353=$F$3)*(危旧房屋改造项目分表!$O$6:$O$353="棚改征收")*(危旧房屋改造项目分表!$V$6:$V$353&gt;=11%)*(危旧房屋改造项目分表!$V$6:$V$353&lt;=60%)*危旧房屋改造项目分表!$AF$6:$AF$353),"")+SUMPRODUCT((危旧房屋改造项目分表!$B$6:$B$353=$F$3)*(危旧房屋改造项目分表!$O$6:$O$353="拆除补偿")*(危旧房屋改造项目分表!$V$6:$V$353&gt;=11%)*(危旧房屋改造项目分表!$V$6:$V$353&lt;=60%)*危旧房屋改造项目分表!$AF$6:$AF$353)</f>
        <v>0</v>
      </c>
      <c r="G56" s="130">
        <f>IFERROR(SUMPRODUCT((危旧房屋改造项目分表!$B$6:$B$353=$G$3)*(危旧房屋改造项目分表!$O$6:$O$353="棚改征收")*(危旧房屋改造项目分表!$V$6:$V$353&gt;=11%)*(危旧房屋改造项目分表!$V$6:$V$353&lt;=60%)*危旧房屋改造项目分表!$AF$6:$AF$353),"")+SUMPRODUCT((危旧房屋改造项目分表!$B$6:$B$353=$G$3)*(危旧房屋改造项目分表!$O$6:$O$353="拆除补偿")*(危旧房屋改造项目分表!$V$6:$V$353&gt;=11%)*(危旧房屋改造项目分表!$V$6:$V$353&lt;=60%)*危旧房屋改造项目分表!$AF$6:$AF$353)</f>
        <v>0</v>
      </c>
      <c r="H56" s="130">
        <f>IFERROR(SUMPRODUCT((危旧房屋改造项目分表!$B$6:$B$353=$H$3)*(危旧房屋改造项目分表!$O$6:$O$353="棚改征收")*(危旧房屋改造项目分表!$V$6:$V$353&gt;=11%)*(危旧房屋改造项目分表!$V$6:$V$353&lt;=60%)*危旧房屋改造项目分表!$AF$6:$AF$353),"")+SUMPRODUCT((危旧房屋改造项目分表!$B$6:$B$353=$H$3)*(危旧房屋改造项目分表!$O$6:$O$353="拆除补偿")*(危旧房屋改造项目分表!$V$6:$V$353&gt;=11%)*(危旧房屋改造项目分表!$V$6:$V$353&lt;=60%)*危旧房屋改造项目分表!$AF$6:$AF$353)</f>
        <v>0</v>
      </c>
      <c r="I56" s="130">
        <f>IFERROR(SUMPRODUCT((危旧房屋改造项目分表!$B$6:$B$353=$I$3)*(危旧房屋改造项目分表!$O$6:$O$353="棚改征收")*(危旧房屋改造项目分表!$V$6:$V$353&gt;=11%)*(危旧房屋改造项目分表!$V$6:$V$353&lt;=60%)*危旧房屋改造项目分表!$AF$6:$AF$353),"")+SUMPRODUCT((危旧房屋改造项目分表!$B$6:$B$353=$I$3)*(危旧房屋改造项目分表!$O$6:$O$353="拆除补偿")*(危旧房屋改造项目分表!$V$6:$V$353&gt;=11%)*(危旧房屋改造项目分表!$V$6:$V$353&lt;=60%)*危旧房屋改造项目分表!$AF$6:$AF$353)</f>
        <v>0</v>
      </c>
      <c r="J56" s="130">
        <f>IFERROR(SUMPRODUCT((危旧房屋改造项目分表!$B$6:$B$353=$J$3)*(危旧房屋改造项目分表!$O$6:$O$353="棚改征收")*(危旧房屋改造项目分表!$V$6:$V$353&gt;=11%)*(危旧房屋改造项目分表!$V$6:$V$353&lt;=60%)*危旧房屋改造项目分表!$AF$6:$AF$353),"")+SUMPRODUCT((危旧房屋改造项目分表!$B$6:$B$353=$J$3)*(危旧房屋改造项目分表!$O$6:$O$353="拆除补偿")*(危旧房屋改造项目分表!$V$6:$V$353&gt;=11%)*(危旧房屋改造项目分表!$V$6:$V$353&lt;=60%)*危旧房屋改造项目分表!$AF$6:$AF$353)</f>
        <v>0</v>
      </c>
      <c r="K56" s="130">
        <f>IFERROR(SUMPRODUCT((危旧房屋改造项目分表!$B$6:$B$353=$K$3)*(危旧房屋改造项目分表!$O$6:$O$353="棚改征收")*(危旧房屋改造项目分表!$V$6:$V$353&gt;=11%)*(危旧房屋改造项目分表!$V$6:$V$353&lt;=60%)*危旧房屋改造项目分表!$AF$6:$AF$353),"")+SUMPRODUCT((危旧房屋改造项目分表!$B$6:$B$353=$K$3)*(危旧房屋改造项目分表!$O$6:$O$353="拆除补偿")*(危旧房屋改造项目分表!$V$6:$V$353&gt;=11%)*(危旧房屋改造项目分表!$V$6:$V$353&lt;=60%)*危旧房屋改造项目分表!$AF$6:$AF$353)</f>
        <v>0</v>
      </c>
      <c r="L56" s="130">
        <f>IFERROR(SUMPRODUCT((危旧房屋改造项目分表!$B$6:$B$353=$L$3)*(危旧房屋改造项目分表!$O$6:$O$353="棚改征收")*(危旧房屋改造项目分表!$V$6:$V$353&gt;=11%)*(危旧房屋改造项目分表!$V$6:$V$353&lt;=60%)*危旧房屋改造项目分表!$AF$6:$AF$353),"")+SUMPRODUCT((危旧房屋改造项目分表!$B$6:$B$353=$L$3)*(危旧房屋改造项目分表!$O$6:$O$353="拆除补偿")*(危旧房屋改造项目分表!$V$6:$V$353&gt;=11%)*(危旧房屋改造项目分表!$V$6:$V$353&lt;=60%)*危旧房屋改造项目分表!$AF$6:$AF$353)</f>
        <v>0</v>
      </c>
      <c r="M56" s="130">
        <f>SUM($D$56:$L$56)</f>
        <v>0</v>
      </c>
      <c r="N56" s="149">
        <f>IF(ISERROR(M56/$M$65),"",M56/$M$65)</f>
        <v>0</v>
      </c>
    </row>
    <row r="57" ht="15.6" customHeight="1" spans="1:14">
      <c r="A57" s="145"/>
      <c r="B57" s="129"/>
      <c r="C57" s="129" t="s">
        <v>18</v>
      </c>
      <c r="D57" s="130">
        <f>IFERROR(SUMPRODUCT((危旧房屋改造项目分表!$B$6:$B$353=$D$3)*(危旧房屋改造项目分表!$O$6:$O$353="棚改征收")*(危旧房屋改造项目分表!$V$6:$V$353&gt;=11%)*(危旧房屋改造项目分表!$V$6:$V$353&lt;=60%)*危旧房屋改造项目分表!$K$6:$K$353),"")+SUMPRODUCT((危旧房屋改造项目分表!$B$6:$B$353=$D$3)*(危旧房屋改造项目分表!$O$6:$O$353="拆除补偿")*(危旧房屋改造项目分表!$V$6:$V$353&gt;=11%)*(危旧房屋改造项目分表!$V$6:$V$353&lt;=60%)*危旧房屋改造项目分表!$K$6:$K$353)</f>
        <v>0</v>
      </c>
      <c r="E57" s="130">
        <f>IFERROR(SUMPRODUCT((危旧房屋改造项目分表!$B$6:$B$353=$E$3)*(危旧房屋改造项目分表!$O$6:$O$353="棚改征收")*(危旧房屋改造项目分表!$V$6:$V$353&gt;=11%)*(危旧房屋改造项目分表!$V$6:$V$353&lt;=60%)*危旧房屋改造项目分表!$K$6:$K$353),"")+SUMPRODUCT((危旧房屋改造项目分表!$B$6:$B$353=$E$3)*(危旧房屋改造项目分表!$O$6:$O$353="拆除补偿")*(危旧房屋改造项目分表!$V$6:$V$353&gt;=11%)*(危旧房屋改造项目分表!$V$6:$V$353&lt;=60%)*危旧房屋改造项目分表!$K$6:$K$353)</f>
        <v>0</v>
      </c>
      <c r="F57" s="130">
        <f>IFERROR(SUMPRODUCT((危旧房屋改造项目分表!$B$6:$B$353=$F$3)*(危旧房屋改造项目分表!$O$6:$O$353="棚改征收")*(危旧房屋改造项目分表!$V$6:$V$353&gt;=11%)*(危旧房屋改造项目分表!$V$6:$V$353&lt;=60%)*危旧房屋改造项目分表!$K$6:$K$353),"")+SUMPRODUCT((危旧房屋改造项目分表!$B$6:$B$353=$F$3)*(危旧房屋改造项目分表!$O$6:$O$353="拆除补偿")*(危旧房屋改造项目分表!$V$6:$V$353&gt;=11%)*(危旧房屋改造项目分表!$V$6:$V$353&lt;=60%)*危旧房屋改造项目分表!$K$6:$K$353)</f>
        <v>0</v>
      </c>
      <c r="G57" s="130">
        <f>IFERROR(SUMPRODUCT((危旧房屋改造项目分表!$B$6:$B$353=$G$3)*(危旧房屋改造项目分表!$O$6:$O$353="棚改征收")*(危旧房屋改造项目分表!$V$6:$V$353&gt;=11%)*(危旧房屋改造项目分表!$V$6:$V$353&lt;=60%)*危旧房屋改造项目分表!$K$6:$K$353),"")+SUMPRODUCT((危旧房屋改造项目分表!$B$6:$B$353=$G$3)*(危旧房屋改造项目分表!$O$6:$O$353="拆除补偿")*(危旧房屋改造项目分表!$V$6:$V$353&gt;=11%)*(危旧房屋改造项目分表!$V$6:$V$353&lt;=60%)*危旧房屋改造项目分表!$K$6:$K$353)</f>
        <v>0</v>
      </c>
      <c r="H57" s="130">
        <f>IFERROR(SUMPRODUCT((危旧房屋改造项目分表!$B$6:$B$353=$H$3)*(危旧房屋改造项目分表!$O$6:$O$353="棚改征收")*(危旧房屋改造项目分表!$V$6:$V$353&gt;=11%)*(危旧房屋改造项目分表!$V$6:$V$353&lt;=60%)*危旧房屋改造项目分表!$K$6:$K$353),"")+SUMPRODUCT((危旧房屋改造项目分表!$B$6:$B$353=$H$3)*(危旧房屋改造项目分表!$O$6:$O$353="拆除补偿")*(危旧房屋改造项目分表!$V$6:$V$353&gt;=11%)*(危旧房屋改造项目分表!$V$6:$V$353&lt;=60%)*危旧房屋改造项目分表!$K$6:$K$353)</f>
        <v>0</v>
      </c>
      <c r="I57" s="130">
        <f>IFERROR(SUMPRODUCT((危旧房屋改造项目分表!$B$6:$B$353=$I$3)*(危旧房屋改造项目分表!$O$6:$O$353="棚改征收")*(危旧房屋改造项目分表!$V$6:$V$353&gt;=11%)*(危旧房屋改造项目分表!$V$6:$V$353&lt;=60%)*危旧房屋改造项目分表!$K$6:$K$353),"")+SUMPRODUCT((危旧房屋改造项目分表!$B$6:$B$353=$I$3)*(危旧房屋改造项目分表!$O$6:$O$353="拆除补偿")*(危旧房屋改造项目分表!$V$6:$V$353&gt;=11%)*(危旧房屋改造项目分表!$V$6:$V$353&lt;=60%)*危旧房屋改造项目分表!$K$6:$K$353)</f>
        <v>0</v>
      </c>
      <c r="J57" s="130">
        <f>IFERROR(SUMPRODUCT((危旧房屋改造项目分表!$B$6:$B$353=$J$3)*(危旧房屋改造项目分表!$O$6:$O$353="棚改征收")*(危旧房屋改造项目分表!$V$6:$V$353&gt;=11%)*(危旧房屋改造项目分表!$V$6:$V$353&lt;=60%)*危旧房屋改造项目分表!$K$6:$K$353),"")+SUMPRODUCT((危旧房屋改造项目分表!$B$6:$B$353=$J$3)*(危旧房屋改造项目分表!$O$6:$O$353="拆除补偿")*(危旧房屋改造项目分表!$V$6:$V$353&gt;=11%)*(危旧房屋改造项目分表!$V$6:$V$353&lt;=60%)*危旧房屋改造项目分表!$K$6:$K$353)</f>
        <v>0</v>
      </c>
      <c r="K57" s="130">
        <f>IFERROR(SUMPRODUCT((危旧房屋改造项目分表!$B$6:$B$353=$K$3)*(危旧房屋改造项目分表!$O$6:$O$353="棚改征收")*(危旧房屋改造项目分表!$V$6:$V$353&gt;=11%)*(危旧房屋改造项目分表!$V$6:$V$353&lt;=60%)*危旧房屋改造项目分表!$K$6:$K$353),"")+SUMPRODUCT((危旧房屋改造项目分表!$B$6:$B$353=$K$3)*(危旧房屋改造项目分表!$O$6:$O$353="拆除补偿")*(危旧房屋改造项目分表!$V$6:$V$353&gt;=11%)*(危旧房屋改造项目分表!$V$6:$V$353&lt;=60%)*危旧房屋改造项目分表!$K$6:$K$353)</f>
        <v>0</v>
      </c>
      <c r="L57" s="130">
        <f>IFERROR(SUMPRODUCT((危旧房屋改造项目分表!$B$6:$B$353=$L$3)*(危旧房屋改造项目分表!$O$6:$O$353="棚改征收")*(危旧房屋改造项目分表!$V$6:$V$353&gt;=11%)*(危旧房屋改造项目分表!$V$6:$V$353&lt;=60%)*危旧房屋改造项目分表!$K$6:$K$353),"")+SUMPRODUCT((危旧房屋改造项目分表!$B$6:$B$353=$L$3)*(危旧房屋改造项目分表!$O$6:$O$353="拆除补偿")*(危旧房屋改造项目分表!$V$6:$V$353&gt;=11%)*(危旧房屋改造项目分表!$V$6:$V$353&lt;=60%)*危旧房屋改造项目分表!$K$6:$K$353)</f>
        <v>0</v>
      </c>
      <c r="M57" s="130">
        <f>SUM($D$57:$L$57)</f>
        <v>0</v>
      </c>
      <c r="N57" s="149">
        <f>IF(ISERROR(M57/$M$66),"",M57/$M$66)</f>
        <v>0</v>
      </c>
    </row>
    <row r="58" ht="15.6" customHeight="1" spans="1:14">
      <c r="A58" s="145"/>
      <c r="B58" s="129"/>
      <c r="C58" s="129" t="s">
        <v>19</v>
      </c>
      <c r="D58" s="130">
        <f>IFERROR(SUMPRODUCT((危旧房屋改造项目分表!$B$6:$B$353=$D$3)*(危旧房屋改造项目分表!$O$6:$O$353="棚改征收")*(危旧房屋改造项目分表!$V$6:$V$353&gt;=11%)*(危旧房屋改造项目分表!$V$6:$V$353&lt;=60%)*危旧房屋改造项目分表!$L$6:$L$353),"")+SUMPRODUCT((危旧房屋改造项目分表!$B$6:$B$353=$D$3)*(危旧房屋改造项目分表!$O$6:$O$353="拆除补偿")*(危旧房屋改造项目分表!$V$6:$V$353&gt;=11%)*(危旧房屋改造项目分表!$V$6:$V$353&lt;=60%)*危旧房屋改造项目分表!$L$6:$L$353)</f>
        <v>0</v>
      </c>
      <c r="E58" s="130">
        <f>IFERROR(SUMPRODUCT((危旧房屋改造项目分表!$B$6:$B$353=$F$3)*(危旧房屋改造项目分表!$O$6:$O$353="棚改征收")*(危旧房屋改造项目分表!$V$6:$V$353&gt;=11%)*(危旧房屋改造项目分表!$V$6:$V$353&lt;=60%)*危旧房屋改造项目分表!$L$6:$L$353),"")+SUMPRODUCT((危旧房屋改造项目分表!$B$6:$B$353=$F$3)*(危旧房屋改造项目分表!$O$6:$O$353="拆除补偿")*(危旧房屋改造项目分表!$V$6:$V$353&gt;=11%)*(危旧房屋改造项目分表!$V$6:$V$353&lt;=60%)*危旧房屋改造项目分表!$L$6:$L$353)</f>
        <v>0</v>
      </c>
      <c r="F58" s="130">
        <f>IFERROR(SUMPRODUCT((危旧房屋改造项目分表!$B$6:$B$353=$G$3)*(危旧房屋改造项目分表!$O$6:$O$353="棚改征收")*(危旧房屋改造项目分表!$V$6:$V$353&gt;=11%)*(危旧房屋改造项目分表!$V$6:$V$353&lt;=60%)*危旧房屋改造项目分表!$L$6:$L$353),"")+SUMPRODUCT((危旧房屋改造项目分表!$B$6:$B$353=$G$3)*(危旧房屋改造项目分表!$O$6:$O$353="拆除补偿")*(危旧房屋改造项目分表!$V$6:$V$353&gt;=11%)*(危旧房屋改造项目分表!$V$6:$V$353&lt;=60%)*危旧房屋改造项目分表!$L$6:$L$353)</f>
        <v>0</v>
      </c>
      <c r="G58" s="130">
        <f>IFERROR(SUMPRODUCT((危旧房屋改造项目分表!$B$6:$B$353=$G$3)*(危旧房屋改造项目分表!$O$6:$O$353="棚改征收")*(危旧房屋改造项目分表!$V$6:$V$353&gt;=11%)*(危旧房屋改造项目分表!$V$6:$V$353&lt;=60%)*危旧房屋改造项目分表!$L$6:$L$353),"")+SUMPRODUCT((危旧房屋改造项目分表!$B$6:$B$353=$G$3)*(危旧房屋改造项目分表!$O$6:$O$353="拆除补偿")*(危旧房屋改造项目分表!$V$6:$V$353&gt;=11%)*(危旧房屋改造项目分表!$V$6:$V$353&lt;=60%)*危旧房屋改造项目分表!$L$6:$L$353)</f>
        <v>0</v>
      </c>
      <c r="H58" s="130">
        <f>IFERROR(SUMPRODUCT((危旧房屋改造项目分表!$B$6:$B$353=$H$3)*(危旧房屋改造项目分表!$O$6:$O$353="棚改征收")*(危旧房屋改造项目分表!$V$6:$V$353&gt;=11%)*(危旧房屋改造项目分表!$V$6:$V$353&lt;=60%)*危旧房屋改造项目分表!$L$6:$L$353),"")+SUMPRODUCT((危旧房屋改造项目分表!$B$6:$B$353=$H$3)*(危旧房屋改造项目分表!$O$6:$O$353="拆除补偿")*(危旧房屋改造项目分表!$V$6:$V$353&gt;=11%)*(危旧房屋改造项目分表!$V$6:$V$353&lt;=60%)*危旧房屋改造项目分表!$L$6:$L$353)</f>
        <v>0</v>
      </c>
      <c r="I58" s="130">
        <f>IFERROR(SUMPRODUCT((危旧房屋改造项目分表!$B$6:$B$353=$I$3)*(危旧房屋改造项目分表!$O$6:$O$353="棚改征收")*(危旧房屋改造项目分表!$V$6:$V$353&gt;=11%)*(危旧房屋改造项目分表!$V$6:$V$353&lt;=60%)*危旧房屋改造项目分表!$L$6:$L$353),"")+SUMPRODUCT((危旧房屋改造项目分表!$B$6:$B$353=$I$3)*(危旧房屋改造项目分表!$O$6:$O$353="拆除补偿")*(危旧房屋改造项目分表!$V$6:$V$353&gt;=11%)*(危旧房屋改造项目分表!$V$6:$V$353&lt;=60%)*危旧房屋改造项目分表!$L$6:$L$353)</f>
        <v>0</v>
      </c>
      <c r="J58" s="130">
        <f>IFERROR(SUMPRODUCT((危旧房屋改造项目分表!$B$6:$B$353=$J$3)*(危旧房屋改造项目分表!$O$6:$O$353="棚改征收")*(危旧房屋改造项目分表!$V$6:$V$353&gt;=11%)*(危旧房屋改造项目分表!$V$6:$V$353&lt;=60%)*危旧房屋改造项目分表!$L$6:$L$353),"")+SUMPRODUCT((危旧房屋改造项目分表!$B$6:$B$353=$J$3)*(危旧房屋改造项目分表!$O$6:$O$353="拆除补偿")*(危旧房屋改造项目分表!$V$6:$V$353&gt;=11%)*(危旧房屋改造项目分表!$V$6:$V$353&lt;=60%)*危旧房屋改造项目分表!$L$6:$L$353)</f>
        <v>0</v>
      </c>
      <c r="K58" s="130">
        <f>IFERROR(SUMPRODUCT((危旧房屋改造项目分表!$B$6:$B$353=$K$3)*(危旧房屋改造项目分表!$O$6:$O$353="棚改征收")*(危旧房屋改造项目分表!$V$6:$V$353&gt;=11%)*(危旧房屋改造项目分表!$V$6:$V$353&lt;=60%)*危旧房屋改造项目分表!$L$6:$L$353),"")+SUMPRODUCT((危旧房屋改造项目分表!$B$6:$B$353=$K$3)*(危旧房屋改造项目分表!$O$6:$O$353="拆除补偿")*(危旧房屋改造项目分表!$V$6:$V$353&gt;=11%)*(危旧房屋改造项目分表!$V$6:$V$353&lt;=60%)*危旧房屋改造项目分表!$L$6:$L$353)</f>
        <v>0</v>
      </c>
      <c r="L58" s="130">
        <f>IFERROR(SUMPRODUCT((危旧房屋改造项目分表!$B$6:$B$353=$L$3)*(危旧房屋改造项目分表!$O$6:$O$353="棚改征收")*(危旧房屋改造项目分表!$V$6:$V$353&gt;=11%)*(危旧房屋改造项目分表!$V$6:$V$353&lt;=60%)*危旧房屋改造项目分表!$L$6:$L$353),"")+SUMPRODUCT((危旧房屋改造项目分表!$B$6:$B$353=$L$3)*(危旧房屋改造项目分表!$O$6:$O$353="拆除补偿")*(危旧房屋改造项目分表!$V$6:$V$353&gt;=11%)*(危旧房屋改造项目分表!$V$6:$V$353&lt;=60%)*危旧房屋改造项目分表!$L$6:$L$353)</f>
        <v>0</v>
      </c>
      <c r="M58" s="130">
        <f>SUM($D$58:$L$58)</f>
        <v>0</v>
      </c>
      <c r="N58" s="149">
        <f>IF(ISERROR(M58/$M$67),"",M58/$M$67)</f>
        <v>0</v>
      </c>
    </row>
    <row r="59" ht="15.6" customHeight="1" spans="1:14">
      <c r="A59" s="145"/>
      <c r="B59" s="129" t="s">
        <v>31</v>
      </c>
      <c r="C59" s="129" t="s">
        <v>17</v>
      </c>
      <c r="D59" s="130">
        <f>IFERROR(SUMPRODUCT((危旧房屋改造项目分表!$B$6:$B$353=$D$3)*(危旧房屋改造项目分表!$O$6:$O$353="棚改征收")*(危旧房屋改造项目分表!$V$6:$V$353&gt;=61%)*(危旧房屋改造项目分表!$V$6:$V$353&lt;=89%)*危旧房屋改造项目分表!$AF$6:$AF$353),"")+SUMPRODUCT((危旧房屋改造项目分表!$B$6:$B$353=$D$3)*(危旧房屋改造项目分表!$O$6:$O$353="拆除补偿")*(危旧房屋改造项目分表!$V$6:$V$353&gt;=61%)*(危旧房屋改造项目分表!$V$6:$V$353&lt;=89%)*危旧房屋改造项目分表!$AF$6:$AF$353)</f>
        <v>0</v>
      </c>
      <c r="E59" s="130">
        <f>IFERROR(SUMPRODUCT((危旧房屋改造项目分表!$B$6:$B$353=$E$3)*(危旧房屋改造项目分表!$O$6:$O$353="棚改征收")*(危旧房屋改造项目分表!$V$6:$V$353&gt;=61%)*(危旧房屋改造项目分表!$V$6:$V$353&lt;=89%)*危旧房屋改造项目分表!$AF$6:$AF$353),"")+SUMPRODUCT((危旧房屋改造项目分表!$B$6:$B$353=$E$3)*(危旧房屋改造项目分表!$O$6:$O$353="拆除补偿")*(危旧房屋改造项目分表!$V$6:$V$353&gt;=61%)*(危旧房屋改造项目分表!$V$6:$V$353&lt;=89%)*危旧房屋改造项目分表!$AF$6:$AF$353)</f>
        <v>0</v>
      </c>
      <c r="F59" s="130">
        <f>IFERROR(SUMPRODUCT((危旧房屋改造项目分表!$B$6:$B$353=$F$3)*(危旧房屋改造项目分表!$O$6:$O$353="棚改征收")*(危旧房屋改造项目分表!$V$6:$V$353&gt;=61%)*(危旧房屋改造项目分表!$V$6:$V$353&lt;=89%)*危旧房屋改造项目分表!$AF$6:$AF$353),"")+SUMPRODUCT((危旧房屋改造项目分表!$B$6:$B$353=$F$3)*(危旧房屋改造项目分表!$O$6:$O$353="拆除补偿")*(危旧房屋改造项目分表!$V$6:$V$353&gt;=61%)*(危旧房屋改造项目分表!$V$6:$V$353&lt;=89%)*危旧房屋改造项目分表!$AF$6:$AF$353)</f>
        <v>0</v>
      </c>
      <c r="G59" s="130">
        <f>IFERROR(SUMPRODUCT((危旧房屋改造项目分表!$B$6:$B$353=$G$3)*(危旧房屋改造项目分表!$O$6:$O$353="棚改征收")*(危旧房屋改造项目分表!$V$6:$V$353&gt;=61%)*(危旧房屋改造项目分表!$V$6:$V$353&lt;=89%)*危旧房屋改造项目分表!$AF$6:$AF$353),"")+SUMPRODUCT((危旧房屋改造项目分表!$B$6:$B$353=$G$3)*(危旧房屋改造项目分表!$O$6:$O$353="拆除补偿")*(危旧房屋改造项目分表!$V$6:$V$353&gt;=61%)*(危旧房屋改造项目分表!$V$6:$V$353&lt;=89%)*危旧房屋改造项目分表!$AF$6:$AF$353)</f>
        <v>0</v>
      </c>
      <c r="H59" s="130">
        <f>IFERROR(SUMPRODUCT((危旧房屋改造项目分表!$B$6:$B$353=$H$3)*(危旧房屋改造项目分表!$O$6:$O$353="棚改征收")*(危旧房屋改造项目分表!$V$6:$V$353&gt;=61%)*(危旧房屋改造项目分表!$V$6:$V$353&lt;=89%)*危旧房屋改造项目分表!$AF$6:$AF$353),"")+SUMPRODUCT((危旧房屋改造项目分表!$B$6:$B$353=$H$3)*(危旧房屋改造项目分表!$O$6:$O$353="拆除补偿")*(危旧房屋改造项目分表!$V$6:$V$353&gt;=61%)*(危旧房屋改造项目分表!$V$6:$V$353&lt;=89%)*危旧房屋改造项目分表!$AF$6:$AF$353)</f>
        <v>0</v>
      </c>
      <c r="I59" s="130">
        <f>IFERROR(SUMPRODUCT((危旧房屋改造项目分表!$B$6:$B$353=$I$3)*(危旧房屋改造项目分表!$O$6:$O$353="棚改征收")*(危旧房屋改造项目分表!$V$6:$V$353&gt;=61%)*(危旧房屋改造项目分表!$V$6:$V$353&lt;=89%)*危旧房屋改造项目分表!$AF$6:$AF$353),"")+SUMPRODUCT((危旧房屋改造项目分表!$B$6:$B$353=$I$3)*(危旧房屋改造项目分表!$O$6:$O$353="拆除补偿")*(危旧房屋改造项目分表!$V$6:$V$353&gt;=61%)*(危旧房屋改造项目分表!$V$6:$V$353&lt;=89%)*危旧房屋改造项目分表!$AF$6:$AF$353)</f>
        <v>0</v>
      </c>
      <c r="J59" s="130">
        <f>IFERROR(SUMPRODUCT((危旧房屋改造项目分表!$B$6:$B$353=$J$3)*(危旧房屋改造项目分表!$O$6:$O$353="棚改征收")*(危旧房屋改造项目分表!$V$6:$V$353&gt;=61%)*(危旧房屋改造项目分表!$V$6:$V$353&lt;=89%)*危旧房屋改造项目分表!$AF$6:$AF$353),"")+SUMPRODUCT((危旧房屋改造项目分表!$B$6:$B$353=$J$3)*(危旧房屋改造项目分表!$O$6:$O$353="拆除补偿")*(危旧房屋改造项目分表!$V$6:$V$353&gt;=61%)*(危旧房屋改造项目分表!$V$6:$V$353&lt;=89%)*危旧房屋改造项目分表!$AF$6:$AF$353)</f>
        <v>0</v>
      </c>
      <c r="K59" s="130">
        <f>IFERROR(SUMPRODUCT((危旧房屋改造项目分表!$B$6:$B$353=$K$3)*(危旧房屋改造项目分表!$O$6:$O$353="棚改征收")*(危旧房屋改造项目分表!$V$6:$V$353&gt;=61%)*(危旧房屋改造项目分表!$V$6:$V$353&lt;=89%)*危旧房屋改造项目分表!$AF$6:$AF$353),"")+SUMPRODUCT((危旧房屋改造项目分表!$B$6:$B$353=$K$3)*(危旧房屋改造项目分表!$O$6:$O$353="拆除补偿")*(危旧房屋改造项目分表!$V$6:$V$353&gt;=61%)*(危旧房屋改造项目分表!$V$6:$V$353&lt;=89%)*危旧房屋改造项目分表!$AF$6:$AF$353)</f>
        <v>0</v>
      </c>
      <c r="L59" s="130">
        <f>IFERROR(SUMPRODUCT((危旧房屋改造项目分表!$B$6:$B$353=$L$3)*(危旧房屋改造项目分表!$O$6:$O$353="棚改征收")*(危旧房屋改造项目分表!$V$6:$V$353&gt;=61%)*(危旧房屋改造项目分表!$V$6:$V$353&lt;=89%)*危旧房屋改造项目分表!$AF$6:$AF$353),"")+SUMPRODUCT((危旧房屋改造项目分表!$B$6:$B$353=$L$3)*(危旧房屋改造项目分表!$O$6:$O$353="拆除补偿")*(危旧房屋改造项目分表!$V$6:$V$353&gt;=61%)*(危旧房屋改造项目分表!$V$6:$V$353&lt;=89%)*危旧房屋改造项目分表!$AF$6:$AF$353)</f>
        <v>0</v>
      </c>
      <c r="M59" s="130">
        <f>SUM($D$59:$L$59)</f>
        <v>0</v>
      </c>
      <c r="N59" s="149">
        <f>IF(ISERROR(M59/$M$65),"",M59/$M$65)</f>
        <v>0</v>
      </c>
    </row>
    <row r="60" ht="15.6" customHeight="1" spans="1:14">
      <c r="A60" s="145"/>
      <c r="B60" s="129"/>
      <c r="C60" s="129" t="s">
        <v>18</v>
      </c>
      <c r="D60" s="130">
        <f>IFERROR(SUMPRODUCT((危旧房屋改造项目分表!$B$6:$B$353=$D$3)*(危旧房屋改造项目分表!$O$6:$O$353="棚改征收")*(危旧房屋改造项目分表!$V$6:$V$353&gt;=61%)*(危旧房屋改造项目分表!$V$6:$V$353&lt;=89%)*危旧房屋改造项目分表!$K$6:$K$353),"")+SUMPRODUCT((危旧房屋改造项目分表!$B$6:$B$353=$D$3)*(危旧房屋改造项目分表!$O$6:$O$353="拆除补偿")*(危旧房屋改造项目分表!$V$6:$V$353&gt;=61%)*(危旧房屋改造项目分表!$V$6:$V$353&lt;=89%)*危旧房屋改造项目分表!$K$6:$K$353)</f>
        <v>0</v>
      </c>
      <c r="E60" s="130">
        <f>IFERROR(SUMPRODUCT((危旧房屋改造项目分表!$B$6:$B$353=$E$3)*(危旧房屋改造项目分表!$O$6:$O$353="棚改征收")*(危旧房屋改造项目分表!$V$6:$V$353&gt;=61%)*(危旧房屋改造项目分表!$V$6:$V$353&lt;=89%)*危旧房屋改造项目分表!$K$6:$K$353),"")+SUMPRODUCT((危旧房屋改造项目分表!$B$6:$B$353=$E$3)*(危旧房屋改造项目分表!$O$6:$O$353="拆除补偿")*(危旧房屋改造项目分表!$V$6:$V$353&gt;=61%)*(危旧房屋改造项目分表!$V$6:$V$353&lt;=89%)*危旧房屋改造项目分表!$K$6:$K$353)</f>
        <v>0</v>
      </c>
      <c r="F60" s="130">
        <f>IFERROR(SUMPRODUCT((危旧房屋改造项目分表!$B$6:$B$353=$F$3)*(危旧房屋改造项目分表!$O$6:$O$353="棚改征收")*(危旧房屋改造项目分表!$V$6:$V$353&gt;=61%)*(危旧房屋改造项目分表!$V$6:$V$353&lt;=89%)*危旧房屋改造项目分表!$K$6:$K$353),"")+SUMPRODUCT((危旧房屋改造项目分表!$B$6:$B$353=$F$3)*(危旧房屋改造项目分表!$O$6:$O$353="拆除补偿")*(危旧房屋改造项目分表!$V$6:$V$353&gt;=61%)*(危旧房屋改造项目分表!$V$6:$V$353&lt;=89%)*危旧房屋改造项目分表!$K$6:$K$353)</f>
        <v>0</v>
      </c>
      <c r="G60" s="130">
        <f>IFERROR(SUMPRODUCT((危旧房屋改造项目分表!$B$6:$B$353=$G$3)*(危旧房屋改造项目分表!$O$6:$O$353="棚改征收")*(危旧房屋改造项目分表!$V$6:$V$353&gt;=61%)*(危旧房屋改造项目分表!$V$6:$V$353&lt;=89%)*危旧房屋改造项目分表!$K$6:$K$353),"")+SUMPRODUCT((危旧房屋改造项目分表!$B$6:$B$353=$G$3)*(危旧房屋改造项目分表!$O$6:$O$353="拆除补偿")*(危旧房屋改造项目分表!$V$6:$V$353&gt;=61%)*(危旧房屋改造项目分表!$V$6:$V$353&lt;=89%)*危旧房屋改造项目分表!$K$6:$K$353)</f>
        <v>0</v>
      </c>
      <c r="H60" s="130">
        <f>IFERROR(SUMPRODUCT((危旧房屋改造项目分表!$B$6:$B$353=$H$3)*(危旧房屋改造项目分表!$O$6:$O$353="棚改征收")*(危旧房屋改造项目分表!$V$6:$V$353&gt;=61%)*(危旧房屋改造项目分表!$V$6:$V$353&lt;=89%)*危旧房屋改造项目分表!$K$6:$K$353),"")+SUMPRODUCT((危旧房屋改造项目分表!$B$6:$B$353=$H$3)*(危旧房屋改造项目分表!$O$6:$O$353="拆除补偿")*(危旧房屋改造项目分表!$V$6:$V$353&gt;=61%)*(危旧房屋改造项目分表!$V$6:$V$353&lt;=89%)*危旧房屋改造项目分表!$K$6:$K$353)</f>
        <v>0</v>
      </c>
      <c r="I60" s="130">
        <f>IFERROR(SUMPRODUCT((危旧房屋改造项目分表!$B$6:$B$353=$I$3)*(危旧房屋改造项目分表!$O$6:$O$353="棚改征收")*(危旧房屋改造项目分表!$V$6:$V$353&gt;=61%)*(危旧房屋改造项目分表!$V$6:$V$353&lt;=89%)*危旧房屋改造项目分表!$K$6:$K$353),"")+SUMPRODUCT((危旧房屋改造项目分表!$B$6:$B$353=$I$3)*(危旧房屋改造项目分表!$O$6:$O$353="拆除补偿")*(危旧房屋改造项目分表!$V$6:$V$353&gt;=61%)*(危旧房屋改造项目分表!$V$6:$V$353&lt;=89%)*危旧房屋改造项目分表!$K$6:$K$353)</f>
        <v>0</v>
      </c>
      <c r="J60" s="130">
        <f>IFERROR(SUMPRODUCT((危旧房屋改造项目分表!$B$6:$B$353=$J$3)*(危旧房屋改造项目分表!$O$6:$O$353="棚改征收")*(危旧房屋改造项目分表!$V$6:$V$353&gt;=61%)*(危旧房屋改造项目分表!$V$6:$V$353&lt;=89%)*危旧房屋改造项目分表!$K$6:$K$353),"")+SUMPRODUCT((危旧房屋改造项目分表!$B$6:$B$353=$J$3)*(危旧房屋改造项目分表!$O$6:$O$353="拆除补偿")*(危旧房屋改造项目分表!$V$6:$V$353&gt;=61%)*(危旧房屋改造项目分表!$V$6:$V$353&lt;=89%)*危旧房屋改造项目分表!$K$6:$K$353)</f>
        <v>0</v>
      </c>
      <c r="K60" s="130">
        <f>IFERROR(SUMPRODUCT((危旧房屋改造项目分表!$B$6:$B$353=$K$3)*(危旧房屋改造项目分表!$O$6:$O$353="棚改征收")*(危旧房屋改造项目分表!$V$6:$V$353&gt;=61%)*(危旧房屋改造项目分表!$V$6:$V$353&lt;=89%)*危旧房屋改造项目分表!$K$6:$K$353),"")+SUMPRODUCT((危旧房屋改造项目分表!$B$6:$B$353=$K$3)*(危旧房屋改造项目分表!$O$6:$O$353="拆除补偿")*(危旧房屋改造项目分表!$V$6:$V$353&gt;=61%)*(危旧房屋改造项目分表!$V$6:$V$353&lt;=89%)*危旧房屋改造项目分表!$K$6:$K$353)</f>
        <v>0</v>
      </c>
      <c r="L60" s="130">
        <f>IFERROR(SUMPRODUCT((危旧房屋改造项目分表!$B$6:$B$353=$L$3)*(危旧房屋改造项目分表!$O$6:$O$353="棚改征收")*(危旧房屋改造项目分表!$V$6:$V$353&gt;=61%)*(危旧房屋改造项目分表!$V$6:$V$353&lt;=89%)*危旧房屋改造项目分表!$K$6:$K$353),"")+SUMPRODUCT((危旧房屋改造项目分表!$B$6:$B$353=$L$3)*(危旧房屋改造项目分表!$O$6:$O$353="拆除补偿")*(危旧房屋改造项目分表!$V$6:$V$353&gt;=61%)*(危旧房屋改造项目分表!$V$6:$V$353&lt;=89%)*危旧房屋改造项目分表!$K$6:$K$353)</f>
        <v>0</v>
      </c>
      <c r="M60" s="130">
        <f>SUM($D$60:$L$60)</f>
        <v>0</v>
      </c>
      <c r="N60" s="149">
        <f>IF(ISERROR(M60/$M$66),"",M60/$M$66)</f>
        <v>0</v>
      </c>
    </row>
    <row r="61" ht="15.6" customHeight="1" spans="1:14">
      <c r="A61" s="145"/>
      <c r="B61" s="129"/>
      <c r="C61" s="129" t="s">
        <v>19</v>
      </c>
      <c r="D61" s="130">
        <f>IFERROR(SUMPRODUCT((危旧房屋改造项目分表!$B$6:$B$353=$D$3)*(危旧房屋改造项目分表!$O$6:$O$353="棚改征收")*(危旧房屋改造项目分表!$V$6:$V$353&gt;=61%)*(危旧房屋改造项目分表!$V$6:$V$353&lt;=89%)*危旧房屋改造项目分表!$L$6:$L$353),"")+SUMPRODUCT((危旧房屋改造项目分表!$B$6:$B$353=$D$3)*(危旧房屋改造项目分表!$O$6:$O$353="拆除补偿")*(危旧房屋改造项目分表!$V$6:$V$353&gt;=61%)*(危旧房屋改造项目分表!$V$6:$V$353&lt;=89%)*危旧房屋改造项目分表!$L$6:$L$353)</f>
        <v>0</v>
      </c>
      <c r="E61" s="130">
        <f>IFERROR(SUMPRODUCT((危旧房屋改造项目分表!$B$6:$B$353=$E$3)*(危旧房屋改造项目分表!$O$6:$O$353="棚改征收")*(危旧房屋改造项目分表!$V$6:$V$353&gt;=61%)*(危旧房屋改造项目分表!$V$6:$V$353&lt;=89%)*危旧房屋改造项目分表!$L$6:$L$353),"")+SUMPRODUCT((危旧房屋改造项目分表!$B$6:$B$353=$E$3)*(危旧房屋改造项目分表!$O$6:$O$353="拆除补偿")*(危旧房屋改造项目分表!$V$6:$V$353&gt;=61%)*(危旧房屋改造项目分表!$V$6:$V$353&lt;=89%)*危旧房屋改造项目分表!$L$6:$L$353)</f>
        <v>0</v>
      </c>
      <c r="F61" s="130">
        <f>IFERROR(SUMPRODUCT((危旧房屋改造项目分表!$B$6:$B$353=$F$3)*(危旧房屋改造项目分表!$O$6:$O$353="棚改征收")*(危旧房屋改造项目分表!$V$6:$V$353&gt;=61%)*(危旧房屋改造项目分表!$V$6:$V$353&lt;=89%)*危旧房屋改造项目分表!$L$6:$L$353),"")+SUMPRODUCT((危旧房屋改造项目分表!$B$6:$B$353=$F$3)*(危旧房屋改造项目分表!$O$6:$O$353="拆除补偿")*(危旧房屋改造项目分表!$V$6:$V$353&gt;=61%)*(危旧房屋改造项目分表!$V$6:$V$353&lt;=89%)*危旧房屋改造项目分表!$L$6:$L$353)</f>
        <v>0</v>
      </c>
      <c r="G61" s="130">
        <f>IFERROR(SUMPRODUCT((危旧房屋改造项目分表!$B$6:$B$353=$G$3)*(危旧房屋改造项目分表!$O$6:$O$353="棚改征收")*(危旧房屋改造项目分表!$V$6:$V$353&gt;=61%)*(危旧房屋改造项目分表!$V$6:$V$353&lt;=89%)*危旧房屋改造项目分表!$L$6:$L$353),"")+SUMPRODUCT((危旧房屋改造项目分表!$B$6:$B$353=$G$3)*(危旧房屋改造项目分表!$O$6:$O$353="拆除补偿")*(危旧房屋改造项目分表!$V$6:$V$353&gt;=61%)*(危旧房屋改造项目分表!$V$6:$V$353&lt;=89%)*危旧房屋改造项目分表!$L$6:$L$353)</f>
        <v>0</v>
      </c>
      <c r="H61" s="130">
        <f>IFERROR(SUMPRODUCT((危旧房屋改造项目分表!$B$6:$B$353=$H$3)*(危旧房屋改造项目分表!$O$6:$O$353="棚改征收")*(危旧房屋改造项目分表!$V$6:$V$353&gt;=61%)*(危旧房屋改造项目分表!$V$6:$V$353&lt;=89%)*危旧房屋改造项目分表!$L$6:$L$353),"")+SUMPRODUCT((危旧房屋改造项目分表!$B$6:$B$353=$H$3)*(危旧房屋改造项目分表!$O$6:$O$353="拆除补偿")*(危旧房屋改造项目分表!$V$6:$V$353&gt;=61%)*(危旧房屋改造项目分表!$V$6:$V$353&lt;=89%)*危旧房屋改造项目分表!$L$6:$L$353)</f>
        <v>0</v>
      </c>
      <c r="I61" s="130">
        <f>IFERROR(SUMPRODUCT((危旧房屋改造项目分表!$B$6:$B$353=$I$3)*(危旧房屋改造项目分表!$O$6:$O$353="棚改征收")*(危旧房屋改造项目分表!$V$6:$V$353&gt;=61%)*(危旧房屋改造项目分表!$V$6:$V$353&lt;=89%)*危旧房屋改造项目分表!$L$6:$L$353),"")+SUMPRODUCT((危旧房屋改造项目分表!$B$6:$B$353=$I$3)*(危旧房屋改造项目分表!$O$6:$O$353="拆除补偿")*(危旧房屋改造项目分表!$V$6:$V$353&gt;=61%)*(危旧房屋改造项目分表!$V$6:$V$353&lt;=89%)*危旧房屋改造项目分表!$L$6:$L$353)</f>
        <v>0</v>
      </c>
      <c r="J61" s="130">
        <f>IFERROR(SUMPRODUCT((危旧房屋改造项目分表!$B$6:$B$353=$J$3)*(危旧房屋改造项目分表!$O$6:$O$353="棚改征收")*(危旧房屋改造项目分表!$V$6:$V$353&gt;=61%)*(危旧房屋改造项目分表!$V$6:$V$353&lt;=89%)*危旧房屋改造项目分表!$L$6:$L$353),"")+SUMPRODUCT((危旧房屋改造项目分表!$B$6:$B$353=$J$3)*(危旧房屋改造项目分表!$O$6:$O$353="拆除补偿")*(危旧房屋改造项目分表!$V$6:$V$353&gt;=61%)*(危旧房屋改造项目分表!$V$6:$V$353&lt;=89%)*危旧房屋改造项目分表!$L$6:$L$353)</f>
        <v>0</v>
      </c>
      <c r="K61" s="130">
        <f>IFERROR(SUMPRODUCT((危旧房屋改造项目分表!$B$6:$B$353=$K$3)*(危旧房屋改造项目分表!$O$6:$O$353="棚改征收")*(危旧房屋改造项目分表!$V$6:$V$353&gt;=61%)*(危旧房屋改造项目分表!$V$6:$V$353&lt;=89%)*危旧房屋改造项目分表!$L$6:$L$353),"")+SUMPRODUCT((危旧房屋改造项目分表!$B$6:$B$353=$K$3)*(危旧房屋改造项目分表!$O$6:$O$353="拆除补偿")*(危旧房屋改造项目分表!$V$6:$V$353&gt;=61%)*(危旧房屋改造项目分表!$V$6:$V$353&lt;=89%)*危旧房屋改造项目分表!$L$6:$L$353)</f>
        <v>0</v>
      </c>
      <c r="L61" s="130">
        <f>IFERROR(SUMPRODUCT((危旧房屋改造项目分表!$B$6:$B$353=$L$3)*(危旧房屋改造项目分表!$O$6:$O$353="棚改征收")*(危旧房屋改造项目分表!$V$6:$V$353&gt;=61%)*(危旧房屋改造项目分表!$V$6:$V$353&lt;=89%)*危旧房屋改造项目分表!$L$6:$L$353),"")+SUMPRODUCT((危旧房屋改造项目分表!$B$6:$B$353=$L$3)*(危旧房屋改造项目分表!$O$6:$O$353="拆除补偿")*(危旧房屋改造项目分表!$V$6:$V$353&gt;=61%)*(危旧房屋改造项目分表!$V$6:$V$353&lt;=89%)*危旧房屋改造项目分表!$L$6:$L$353)</f>
        <v>0</v>
      </c>
      <c r="M61" s="130">
        <f>SUM($D$61:$L$61)</f>
        <v>0</v>
      </c>
      <c r="N61" s="149">
        <f>IF(ISERROR(M61/$M$67),"",M61/$M$67)</f>
        <v>0</v>
      </c>
    </row>
    <row r="62" ht="14.85" customHeight="1" spans="1:14">
      <c r="A62" s="145"/>
      <c r="B62" s="129" t="s">
        <v>32</v>
      </c>
      <c r="C62" s="129" t="s">
        <v>17</v>
      </c>
      <c r="D62" s="130">
        <f>IFERROR(SUMPRODUCT((危旧房屋改造项目分表!$B$6:$B$353=$D$3)*(危旧房屋改造项目分表!$O$6:$O$353="棚改征收")*(危旧房屋改造项目分表!$V$6:$V$353&gt;=90%)*危旧房屋改造项目分表!$AF$6:$AF$353),"")+SUMPRODUCT((危旧房屋改造项目分表!$B$6:$B$353=$D$3)*(危旧房屋改造项目分表!$O$6:$O$353="拆除补偿")*(危旧房屋改造项目分表!$V$6:$V$353&gt;=90%)*危旧房屋改造项目分表!$AF$6:$AF$353)</f>
        <v>0</v>
      </c>
      <c r="E62" s="130">
        <f>IFERROR(SUMPRODUCT((危旧房屋改造项目分表!$B$6:$B$353=$E$3)*(危旧房屋改造项目分表!$O$6:$O$353="棚改征收")*(危旧房屋改造项目分表!$V$6:$V$353&gt;=90%)*危旧房屋改造项目分表!$AF$6:$AF$353),"")+SUMPRODUCT((危旧房屋改造项目分表!$B$6:$B$353=$E$3)*(危旧房屋改造项目分表!$O$6:$O$353="拆除补偿")*(危旧房屋改造项目分表!$V$6:$V$353&gt;=90%)*危旧房屋改造项目分表!$AF$6:$AF$353)</f>
        <v>0</v>
      </c>
      <c r="F62" s="130">
        <f>IFERROR(SUMPRODUCT((危旧房屋改造项目分表!$B$6:$B$353=$F$3)*(危旧房屋改造项目分表!$O$6:$O$353="棚改征收")*(危旧房屋改造项目分表!$V$6:$V$353&gt;=90%)*危旧房屋改造项目分表!$AF$6:$AF$353),"")+SUMPRODUCT((危旧房屋改造项目分表!$B$6:$B$353=$F$3)*(危旧房屋改造项目分表!$O$6:$O$353="拆除补偿")*(危旧房屋改造项目分表!$V$6:$V$353&gt;=90%)*危旧房屋改造项目分表!$AF$6:$AF$353)</f>
        <v>0</v>
      </c>
      <c r="G62" s="130">
        <f>IFERROR(SUMPRODUCT((危旧房屋改造项目分表!$B$6:$B$353=$G$3)*(危旧房屋改造项目分表!$O$6:$O$353="棚改征收")*(危旧房屋改造项目分表!$V$6:$V$353&gt;=90%)*危旧房屋改造项目分表!$AF$6:$AF$353),"")+SUMPRODUCT((危旧房屋改造项目分表!$B$6:$B$353=$G$3)*(危旧房屋改造项目分表!$O$6:$O$353="拆除补偿")*(危旧房屋改造项目分表!$V$6:$V$353&gt;=90%)*危旧房屋改造项目分表!$AF$6:$AF$353)</f>
        <v>0</v>
      </c>
      <c r="H62" s="130">
        <f>IFERROR(SUMPRODUCT((危旧房屋改造项目分表!$B$6:$B$353=$H$3)*(危旧房屋改造项目分表!$O$6:$O$353="棚改征收")*(危旧房屋改造项目分表!$V$6:$V$353&gt;=90%)*危旧房屋改造项目分表!$AF$6:$AF$353),"")+SUMPRODUCT((危旧房屋改造项目分表!$B$6:$B$353=$H$3)*(危旧房屋改造项目分表!$O$6:$O$353="拆除补偿")*(危旧房屋改造项目分表!$V$6:$V$353&gt;=90%)*危旧房屋改造项目分表!$AF$6:$AF$353)</f>
        <v>0</v>
      </c>
      <c r="I62" s="130">
        <f>IFERROR(SUMPRODUCT((危旧房屋改造项目分表!$B$6:$B$353=$I$3)*(危旧房屋改造项目分表!$O$6:$O$353="棚改征收")*(危旧房屋改造项目分表!$V$6:$V$353&gt;=90%)*危旧房屋改造项目分表!$AF$6:$AF$353),"")+SUMPRODUCT((危旧房屋改造项目分表!$B$6:$B$353=$I$3)*(危旧房屋改造项目分表!$O$6:$O$353="拆除补偿")*(危旧房屋改造项目分表!$V$6:$V$353&gt;=90%)*危旧房屋改造项目分表!$AF$6:$AF$353)</f>
        <v>0</v>
      </c>
      <c r="J62" s="130">
        <f>IFERROR(SUMPRODUCT((危旧房屋改造项目分表!$B$6:$B$353=$J$3)*(危旧房屋改造项目分表!$O$6:$O$353="棚改征收")*(危旧房屋改造项目分表!$V$6:$V$353&gt;=90%)*危旧房屋改造项目分表!$AF$6:$AF$353),"")+SUMPRODUCT((危旧房屋改造项目分表!$B$6:$B$353=$J$3)*(危旧房屋改造项目分表!$O$6:$O$353="拆除补偿")*(危旧房屋改造项目分表!$V$6:$V$353&gt;=90%)*危旧房屋改造项目分表!$AF$6:$AF$353)</f>
        <v>0</v>
      </c>
      <c r="K62" s="130">
        <f>IFERROR(SUMPRODUCT((危旧房屋改造项目分表!$B$6:$B$353=$K$3)*(危旧房屋改造项目分表!$O$6:$O$353="棚改征收")*(危旧房屋改造项目分表!$V$6:$V$353&gt;=90%)*危旧房屋改造项目分表!$AF$6:$AF$353),"")+SUMPRODUCT((危旧房屋改造项目分表!$B$6:$B$353=$K$3)*(危旧房屋改造项目分表!$O$6:$O$353="拆除补偿")*(危旧房屋改造项目分表!$V$6:$V$353&gt;=90%)*危旧房屋改造项目分表!$AF$6:$AF$353)</f>
        <v>0</v>
      </c>
      <c r="L62" s="130">
        <f>IFERROR(SUMPRODUCT((危旧房屋改造项目分表!$B$6:$B$353=$L$3)*(危旧房屋改造项目分表!$O$6:$O$353="棚改征收")*(危旧房屋改造项目分表!$V$6:$V$353&gt;=90%)*危旧房屋改造项目分表!$AF$6:$AF$353),"")+SUMPRODUCT((危旧房屋改造项目分表!$B$6:$B$353=$L$3)*(危旧房屋改造项目分表!$O$6:$O$353="拆除补偿")*(危旧房屋改造项目分表!$V$6:$V$353&gt;=90%)*危旧房屋改造项目分表!$AF$6:$AF$353)</f>
        <v>0</v>
      </c>
      <c r="M62" s="130">
        <f>SUM($D$62:$L$62)</f>
        <v>0</v>
      </c>
      <c r="N62" s="149">
        <f>IF(ISERROR(M62/$M$65),"",M62/$M$65)</f>
        <v>0</v>
      </c>
    </row>
    <row r="63" ht="14.85" customHeight="1" spans="1:14">
      <c r="A63" s="145"/>
      <c r="B63" s="129"/>
      <c r="C63" s="129" t="s">
        <v>18</v>
      </c>
      <c r="D63" s="130">
        <f>IFERROR(SUMPRODUCT((危旧房屋改造项目分表!$B$6:$B$353=$D$3)*(危旧房屋改造项目分表!$O$6:$O$353="棚改征收")*(危旧房屋改造项目分表!$V$6:$V$353&gt;=90%)*危旧房屋改造项目分表!$K$6:$K$353),"")+SUMPRODUCT((危旧房屋改造项目分表!$B$6:$B$353=$D$3)*(危旧房屋改造项目分表!$O$6:$O$353="拆除补偿")*(危旧房屋改造项目分表!$V$6:$V$353&gt;=90%)*危旧房屋改造项目分表!$K$6:$K$353)</f>
        <v>0</v>
      </c>
      <c r="E63" s="130">
        <f>IFERROR(SUMPRODUCT((危旧房屋改造项目分表!$B$6:$B$353=$E$3)*(危旧房屋改造项目分表!$O$6:$O$353="棚改征收")*(危旧房屋改造项目分表!$V$6:$V$353&gt;=90%)*危旧房屋改造项目分表!$K$6:$K$353),"")+SUMPRODUCT((危旧房屋改造项目分表!$B$6:$B$353=$E$3)*(危旧房屋改造项目分表!$O$6:$O$353="拆除补偿")*(危旧房屋改造项目分表!$V$6:$V$353&gt;=90%)*危旧房屋改造项目分表!$K$6:$K$353)</f>
        <v>0</v>
      </c>
      <c r="F63" s="130">
        <f>IFERROR(SUMPRODUCT((危旧房屋改造项目分表!$B$6:$B$353=$F$3)*(危旧房屋改造项目分表!$O$6:$O$353="棚改征收")*(危旧房屋改造项目分表!$V$6:$V$353&gt;=90%)*危旧房屋改造项目分表!$K$6:$K$353),"")+SUMPRODUCT((危旧房屋改造项目分表!$B$6:$B$353=$F$3)*(危旧房屋改造项目分表!$O$6:$O$353="拆除补偿")*(危旧房屋改造项目分表!$V$6:$V$353&gt;=90%)*危旧房屋改造项目分表!$K$6:$K$353)</f>
        <v>0</v>
      </c>
      <c r="G63" s="130">
        <f>IFERROR(SUMPRODUCT((危旧房屋改造项目分表!$B$6:$B$353=$G$3)*(危旧房屋改造项目分表!$O$6:$O$353="棚改征收")*(危旧房屋改造项目分表!$V$6:$V$353&gt;=90%)*危旧房屋改造项目分表!$K$6:$K$353),"")+SUMPRODUCT((危旧房屋改造项目分表!$B$6:$B$353=$G$3)*(危旧房屋改造项目分表!$O$6:$O$353="拆除补偿")*(危旧房屋改造项目分表!$V$6:$V$353&gt;=90%)*危旧房屋改造项目分表!$K$6:$K$353)</f>
        <v>0</v>
      </c>
      <c r="H63" s="130">
        <f>IFERROR(SUMPRODUCT((危旧房屋改造项目分表!$B$6:$B$353=$H$3)*(危旧房屋改造项目分表!$O$6:$O$353="棚改征收")*(危旧房屋改造项目分表!$V$6:$V$353&gt;=90%)*危旧房屋改造项目分表!$K$6:$K$353),"")+SUMPRODUCT((危旧房屋改造项目分表!$B$6:$B$353=$H$3)*(危旧房屋改造项目分表!$O$6:$O$353="拆除补偿")*(危旧房屋改造项目分表!$V$6:$V$353&gt;=90%)*危旧房屋改造项目分表!$K$6:$K$353)</f>
        <v>0</v>
      </c>
      <c r="I63" s="130">
        <f>IFERROR(SUMPRODUCT((危旧房屋改造项目分表!$B$6:$B$353=$I$3)*(危旧房屋改造项目分表!$O$6:$O$353="棚改征收")*(危旧房屋改造项目分表!$V$6:$V$353&gt;=90%)*危旧房屋改造项目分表!$K$6:$K$353),"")+SUMPRODUCT((危旧房屋改造项目分表!$B$6:$B$353=$I$3)*(危旧房屋改造项目分表!$O$6:$O$353="拆除补偿")*(危旧房屋改造项目分表!$V$6:$V$353&gt;=90%)*危旧房屋改造项目分表!$K$6:$K$353)</f>
        <v>0</v>
      </c>
      <c r="J63" s="130">
        <f>IFERROR(SUMPRODUCT((危旧房屋改造项目分表!$B$6:$B$353=$J$3)*(危旧房屋改造项目分表!$O$6:$O$353="棚改征收")*(危旧房屋改造项目分表!$V$6:$V$353&gt;=90%)*危旧房屋改造项目分表!$K$6:$K$353),"")+SUMPRODUCT((危旧房屋改造项目分表!$B$6:$B$353=$J$3)*(危旧房屋改造项目分表!$O$6:$O$353="拆除补偿")*(危旧房屋改造项目分表!$V$6:$V$353&gt;=90%)*危旧房屋改造项目分表!$K$6:$K$353)</f>
        <v>0</v>
      </c>
      <c r="K63" s="130">
        <f>IFERROR(SUMPRODUCT((危旧房屋改造项目分表!$B$6:$B$353=$K$3)*(危旧房屋改造项目分表!$O$6:$O$353="棚改征收")*(危旧房屋改造项目分表!$V$6:$V$353&gt;=90%)*危旧房屋改造项目分表!$K$6:$K$353),"")+SUMPRODUCT((危旧房屋改造项目分表!$B$6:$B$353=$K$3)*(危旧房屋改造项目分表!$O$6:$O$353="拆除补偿")*(危旧房屋改造项目分表!$V$6:$V$353&gt;=90%)*危旧房屋改造项目分表!$K$6:$K$353)</f>
        <v>0</v>
      </c>
      <c r="L63" s="130">
        <f>IFERROR(SUMPRODUCT((危旧房屋改造项目分表!$B$6:$B$353=$L$3)*(危旧房屋改造项目分表!$O$6:$O$353="棚改征收")*(危旧房屋改造项目分表!$V$6:$V$353&gt;=90%)*危旧房屋改造项目分表!$K$6:$K$353),"")+SUMPRODUCT((危旧房屋改造项目分表!$B$6:$B$353=$L$3)*(危旧房屋改造项目分表!$O$6:$O$353="拆除补偿")*(危旧房屋改造项目分表!$V$6:$V$353&gt;=90%)*危旧房屋改造项目分表!$K$6:$K$353)</f>
        <v>0</v>
      </c>
      <c r="M63" s="130">
        <f>SUM($D$63:$L$63)</f>
        <v>0</v>
      </c>
      <c r="N63" s="149">
        <f>IF(ISERROR(M63/$M$66),"",M63/$M$66)</f>
        <v>0</v>
      </c>
    </row>
    <row r="64" ht="14.85" customHeight="1" spans="1:14">
      <c r="A64" s="145"/>
      <c r="B64" s="129"/>
      <c r="C64" s="129" t="s">
        <v>19</v>
      </c>
      <c r="D64" s="130">
        <f>IFERROR(SUMPRODUCT((危旧房屋改造项目分表!$B$6:$B$353=$D$3)*(危旧房屋改造项目分表!$O$6:$O$353="棚改征收")*(危旧房屋改造项目分表!$V$6:$V$353&gt;=90%)*危旧房屋改造项目分表!$L$6:$L$353),"")+SUMPRODUCT((危旧房屋改造项目分表!$B$6:$B$353=$D$3)*(危旧房屋改造项目分表!$O$6:$O$353="拆除补偿")*(危旧房屋改造项目分表!$V$6:$V$353&gt;=90%)*危旧房屋改造项目分表!$L$6:$L$353)</f>
        <v>0</v>
      </c>
      <c r="E64" s="130">
        <f>IFERROR(SUMPRODUCT((危旧房屋改造项目分表!$B$6:$B$353=$E$3)*(危旧房屋改造项目分表!$O$6:$O$353="棚改征收")*(危旧房屋改造项目分表!$V$6:$V$353&gt;=90%)*危旧房屋改造项目分表!$L$6:$L$353),"")+SUMPRODUCT((危旧房屋改造项目分表!$B$6:$B$353=$E$3)*(危旧房屋改造项目分表!$O$6:$O$353="拆除补偿")*(危旧房屋改造项目分表!$V$6:$V$353&gt;=90%)*危旧房屋改造项目分表!$L$6:$L$353)</f>
        <v>0</v>
      </c>
      <c r="F64" s="130">
        <f>IFERROR(SUMPRODUCT((危旧房屋改造项目分表!$B$6:$B$353=$F$3)*(危旧房屋改造项目分表!$O$6:$O$353="棚改征收")*(危旧房屋改造项目分表!$V$6:$V$353&gt;=90%)*危旧房屋改造项目分表!$L$6:$L$353),"")+SUMPRODUCT((危旧房屋改造项目分表!$B$6:$B$353=$F$3)*(危旧房屋改造项目分表!$O$6:$O$353="拆除补偿")*(危旧房屋改造项目分表!$V$6:$V$353&gt;=90%)*危旧房屋改造项目分表!$L$6:$L$353)</f>
        <v>0</v>
      </c>
      <c r="G64" s="130">
        <f>IFERROR(SUMPRODUCT((危旧房屋改造项目分表!$B$6:$B$353=$G$3)*(危旧房屋改造项目分表!$O$6:$O$353="棚改征收")*(危旧房屋改造项目分表!$V$6:$V$353&gt;=90%)*危旧房屋改造项目分表!$L$6:$L$353),"")+SUMPRODUCT((危旧房屋改造项目分表!$B$6:$B$353=$G$3)*(危旧房屋改造项目分表!$O$6:$O$353="拆除补偿")*(危旧房屋改造项目分表!$V$6:$V$353&gt;=90%)*危旧房屋改造项目分表!$L$6:$L$353)</f>
        <v>0</v>
      </c>
      <c r="H64" s="130">
        <f>IFERROR(SUMPRODUCT((危旧房屋改造项目分表!$B$6:$B$353=$H$3)*(危旧房屋改造项目分表!$O$6:$O$353="棚改征收")*(危旧房屋改造项目分表!$V$6:$V$353&gt;=90%)*危旧房屋改造项目分表!$L$6:$L$353),"")+SUMPRODUCT((危旧房屋改造项目分表!$B$6:$B$353=$H$3)*(危旧房屋改造项目分表!$O$6:$O$353="拆除补偿")*(危旧房屋改造项目分表!$V$6:$V$353&gt;=90%)*危旧房屋改造项目分表!$L$6:$L$353)</f>
        <v>0</v>
      </c>
      <c r="I64" s="130">
        <f>IFERROR(SUMPRODUCT((危旧房屋改造项目分表!$B$6:$B$353=$I$3)*(危旧房屋改造项目分表!$O$6:$O$353="棚改征收")*(危旧房屋改造项目分表!$V$6:$V$353&gt;=90%)*危旧房屋改造项目分表!$L$6:$L$353),"")+SUMPRODUCT((危旧房屋改造项目分表!$B$6:$B$353=$I$3)*(危旧房屋改造项目分表!$O$6:$O$353="拆除补偿")*(危旧房屋改造项目分表!$V$6:$V$353&gt;=90%)*危旧房屋改造项目分表!$L$6:$L$353)</f>
        <v>0</v>
      </c>
      <c r="J64" s="130">
        <f>IFERROR(SUMPRODUCT((危旧房屋改造项目分表!$B$6:$B$353=$J$3)*(危旧房屋改造项目分表!$O$6:$O$353="棚改征收")*(危旧房屋改造项目分表!$V$6:$V$353&gt;=90%)*危旧房屋改造项目分表!$L$6:$L$353),"")+SUMPRODUCT((危旧房屋改造项目分表!$B$6:$B$353=$J$3)*(危旧房屋改造项目分表!$O$6:$O$353="拆除补偿")*(危旧房屋改造项目分表!$V$6:$V$353&gt;=90%)*危旧房屋改造项目分表!$L$6:$L$353)</f>
        <v>0</v>
      </c>
      <c r="K64" s="130">
        <f>IFERROR(SUMPRODUCT((危旧房屋改造项目分表!$B$6:$B$353=$K$3)*(危旧房屋改造项目分表!$O$6:$O$353="棚改征收")*(危旧房屋改造项目分表!$V$6:$V$353&gt;=90%)*危旧房屋改造项目分表!$L$6:$L$353),"")+SUMPRODUCT((危旧房屋改造项目分表!$B$6:$B$353=$K$3)*(危旧房屋改造项目分表!$O$6:$O$353="拆除补偿")*(危旧房屋改造项目分表!$V$6:$V$353&gt;=90%)*危旧房屋改造项目分表!$L$6:$L$353)</f>
        <v>0</v>
      </c>
      <c r="L64" s="130">
        <f>IFERROR(SUMPRODUCT((危旧房屋改造项目分表!$B$6:$B$353=$L$3)*(危旧房屋改造项目分表!$O$6:$O$353="棚改征收")*(危旧房屋改造项目分表!$V$6:$V$353&gt;=90%)*危旧房屋改造项目分表!$L$6:$L$353),"")+SUMPRODUCT((危旧房屋改造项目分表!$B$6:$B$353=$L$3)*(危旧房屋改造项目分表!$O$6:$O$353="拆除补偿")*(危旧房屋改造项目分表!$V$6:$V$353&gt;=90%)*危旧房屋改造项目分表!$L$6:$L$353)</f>
        <v>0</v>
      </c>
      <c r="M64" s="130">
        <f>SUM($D$64:$L$64)</f>
        <v>0</v>
      </c>
      <c r="N64" s="149">
        <f>IF(ISERROR(M64/$M$67),"",M64/$M$67)</f>
        <v>0</v>
      </c>
    </row>
    <row r="65" ht="14.85" customHeight="1" spans="1:14">
      <c r="A65" s="145"/>
      <c r="B65" s="129" t="s">
        <v>26</v>
      </c>
      <c r="C65" s="129" t="s">
        <v>17</v>
      </c>
      <c r="D65" s="141">
        <f t="shared" ref="D65:L65" si="8">D56+D59+D62+D53</f>
        <v>0</v>
      </c>
      <c r="E65" s="141">
        <f t="shared" si="8"/>
        <v>21</v>
      </c>
      <c r="F65" s="141">
        <f t="shared" si="8"/>
        <v>0</v>
      </c>
      <c r="G65" s="141">
        <f t="shared" si="8"/>
        <v>21</v>
      </c>
      <c r="H65" s="141">
        <f t="shared" si="8"/>
        <v>18</v>
      </c>
      <c r="I65" s="141">
        <f t="shared" si="8"/>
        <v>0</v>
      </c>
      <c r="J65" s="141">
        <f t="shared" si="8"/>
        <v>0</v>
      </c>
      <c r="K65" s="141">
        <f t="shared" si="8"/>
        <v>0</v>
      </c>
      <c r="L65" s="141">
        <f t="shared" si="8"/>
        <v>0</v>
      </c>
      <c r="M65" s="130">
        <f>SUM(D65:L65)</f>
        <v>60</v>
      </c>
      <c r="N65" s="149">
        <f>IF(ISERROR(M65/$M$4),"",M65/$M$4)</f>
        <v>0.172413793103448</v>
      </c>
    </row>
    <row r="66" ht="14.85" customHeight="1" spans="1:14">
      <c r="A66" s="145"/>
      <c r="B66" s="129"/>
      <c r="C66" s="129" t="s">
        <v>18</v>
      </c>
      <c r="D66" s="141">
        <f t="shared" ref="D66:L66" si="9">D57+D60+D63+D54</f>
        <v>0</v>
      </c>
      <c r="E66" s="141">
        <f t="shared" si="9"/>
        <v>587</v>
      </c>
      <c r="F66" s="141">
        <f t="shared" si="9"/>
        <v>0</v>
      </c>
      <c r="G66" s="141">
        <f t="shared" si="9"/>
        <v>103</v>
      </c>
      <c r="H66" s="141">
        <f t="shared" si="9"/>
        <v>595</v>
      </c>
      <c r="I66" s="141">
        <f t="shared" si="9"/>
        <v>0</v>
      </c>
      <c r="J66" s="141">
        <f t="shared" si="9"/>
        <v>0</v>
      </c>
      <c r="K66" s="141">
        <f t="shared" si="9"/>
        <v>0</v>
      </c>
      <c r="L66" s="141">
        <f t="shared" si="9"/>
        <v>0</v>
      </c>
      <c r="M66" s="130">
        <f>SUM(D66:L66)</f>
        <v>1285</v>
      </c>
      <c r="N66" s="149">
        <f>IF(ISERROR(M66/$M$5),"",M66/$M$5)</f>
        <v>0.355758582502769</v>
      </c>
    </row>
    <row r="67" ht="14.85" customHeight="1" spans="1:14">
      <c r="A67" s="150"/>
      <c r="B67" s="129"/>
      <c r="C67" s="129" t="s">
        <v>19</v>
      </c>
      <c r="D67" s="143">
        <f t="shared" ref="D67:L67" si="10">D58+D61+D64+D55</f>
        <v>0</v>
      </c>
      <c r="E67" s="143">
        <f t="shared" si="10"/>
        <v>24219.77</v>
      </c>
      <c r="F67" s="143">
        <f t="shared" si="10"/>
        <v>0</v>
      </c>
      <c r="G67" s="143">
        <f t="shared" si="10"/>
        <v>5708.7</v>
      </c>
      <c r="H67" s="143">
        <f t="shared" si="10"/>
        <v>22057.04</v>
      </c>
      <c r="I67" s="143">
        <f t="shared" si="10"/>
        <v>0</v>
      </c>
      <c r="J67" s="143">
        <f t="shared" si="10"/>
        <v>0</v>
      </c>
      <c r="K67" s="143">
        <f t="shared" si="10"/>
        <v>0</v>
      </c>
      <c r="L67" s="143">
        <f t="shared" si="10"/>
        <v>0</v>
      </c>
      <c r="M67" s="130">
        <f>SUM(D67:L67)</f>
        <v>51985.51</v>
      </c>
      <c r="N67" s="149">
        <f>IF(ISERROR(M67/$M$6),"",M67/$M$6)</f>
        <v>0.296455170013961</v>
      </c>
    </row>
    <row r="68" ht="14.85" customHeight="1" spans="1:14">
      <c r="A68" s="151" t="s">
        <v>33</v>
      </c>
      <c r="B68" s="136"/>
      <c r="C68" s="140" t="s">
        <v>17</v>
      </c>
      <c r="D68" s="130">
        <f t="shared" ref="D68:L68" si="11">D41+D26+D11+D56</f>
        <v>21</v>
      </c>
      <c r="E68" s="130">
        <f t="shared" si="11"/>
        <v>0</v>
      </c>
      <c r="F68" s="130">
        <f t="shared" si="11"/>
        <v>0</v>
      </c>
      <c r="G68" s="130">
        <f t="shared" si="11"/>
        <v>0</v>
      </c>
      <c r="H68" s="130">
        <f t="shared" si="11"/>
        <v>0</v>
      </c>
      <c r="I68" s="130">
        <f t="shared" si="11"/>
        <v>0</v>
      </c>
      <c r="J68" s="130">
        <f t="shared" si="11"/>
        <v>0</v>
      </c>
      <c r="K68" s="130">
        <f t="shared" si="11"/>
        <v>0</v>
      </c>
      <c r="L68" s="130">
        <f t="shared" si="11"/>
        <v>0</v>
      </c>
      <c r="M68" s="130">
        <f>SUM(D68:L68)</f>
        <v>21</v>
      </c>
      <c r="N68" s="149">
        <f>IF(ISERROR(M68/M4),"",M68/M4)</f>
        <v>0.0603448275862069</v>
      </c>
    </row>
    <row r="69" ht="14.85" customHeight="1" spans="1:14">
      <c r="A69" s="152"/>
      <c r="B69" s="138"/>
      <c r="C69" s="140" t="s">
        <v>18</v>
      </c>
      <c r="D69" s="130">
        <f t="shared" ref="D69:L69" si="12">D42+D27+D12+D57</f>
        <v>76</v>
      </c>
      <c r="E69" s="130">
        <f t="shared" si="12"/>
        <v>0</v>
      </c>
      <c r="F69" s="130">
        <f t="shared" si="12"/>
        <v>0</v>
      </c>
      <c r="G69" s="130">
        <f t="shared" si="12"/>
        <v>0</v>
      </c>
      <c r="H69" s="130">
        <f t="shared" si="12"/>
        <v>0</v>
      </c>
      <c r="I69" s="130">
        <f t="shared" si="12"/>
        <v>0</v>
      </c>
      <c r="J69" s="130">
        <f t="shared" si="12"/>
        <v>0</v>
      </c>
      <c r="K69" s="130">
        <f t="shared" si="12"/>
        <v>0</v>
      </c>
      <c r="L69" s="130">
        <f t="shared" si="12"/>
        <v>0</v>
      </c>
      <c r="M69" s="130">
        <f t="shared" ref="M69:M81" si="13">SUM(D69:L69)</f>
        <v>76</v>
      </c>
      <c r="N69" s="149">
        <f>IF(ISERROR(M69/M5),"",M69/M5)</f>
        <v>0.0210409745293466</v>
      </c>
    </row>
    <row r="70" ht="14.85" customHeight="1" spans="1:14">
      <c r="A70" s="153"/>
      <c r="B70" s="139"/>
      <c r="C70" s="140" t="s">
        <v>19</v>
      </c>
      <c r="D70" s="130">
        <f t="shared" ref="D70:L70" si="14">D43+D28+D13+D58</f>
        <v>3567.72</v>
      </c>
      <c r="E70" s="130">
        <f t="shared" si="14"/>
        <v>0</v>
      </c>
      <c r="F70" s="130">
        <f t="shared" si="14"/>
        <v>0</v>
      </c>
      <c r="G70" s="130">
        <f t="shared" si="14"/>
        <v>0</v>
      </c>
      <c r="H70" s="130">
        <f t="shared" si="14"/>
        <v>0</v>
      </c>
      <c r="I70" s="130">
        <f t="shared" si="14"/>
        <v>0</v>
      </c>
      <c r="J70" s="130">
        <f t="shared" si="14"/>
        <v>0</v>
      </c>
      <c r="K70" s="130">
        <f t="shared" si="14"/>
        <v>0</v>
      </c>
      <c r="L70" s="130">
        <f t="shared" si="14"/>
        <v>0</v>
      </c>
      <c r="M70" s="130">
        <f t="shared" si="13"/>
        <v>3567.72</v>
      </c>
      <c r="N70" s="149">
        <f>IF(ISERROR(M70/M6),"",M70/M6)</f>
        <v>0.0203454585549359</v>
      </c>
    </row>
    <row r="71" ht="14.85" customHeight="1" spans="1:14">
      <c r="A71" s="144" t="s">
        <v>34</v>
      </c>
      <c r="B71" s="129" t="s">
        <v>35</v>
      </c>
      <c r="C71" s="140" t="s">
        <v>17</v>
      </c>
      <c r="D71" s="130">
        <f t="shared" ref="D71:L71" si="15">D14+D29+D59+D56+D44</f>
        <v>4</v>
      </c>
      <c r="E71" s="130">
        <f t="shared" si="15"/>
        <v>0</v>
      </c>
      <c r="F71" s="130">
        <f t="shared" si="15"/>
        <v>0</v>
      </c>
      <c r="G71" s="130">
        <f t="shared" si="15"/>
        <v>0</v>
      </c>
      <c r="H71" s="130">
        <f t="shared" si="15"/>
        <v>0</v>
      </c>
      <c r="I71" s="130">
        <f t="shared" si="15"/>
        <v>0</v>
      </c>
      <c r="J71" s="130">
        <f t="shared" si="15"/>
        <v>0</v>
      </c>
      <c r="K71" s="130">
        <f t="shared" si="15"/>
        <v>0</v>
      </c>
      <c r="L71" s="130">
        <f t="shared" si="15"/>
        <v>0</v>
      </c>
      <c r="M71" s="130">
        <f t="shared" si="13"/>
        <v>4</v>
      </c>
      <c r="N71" s="149">
        <f>IF(ISERROR(M71/$M$4),"",M71/$M$4)</f>
        <v>0.0114942528735632</v>
      </c>
    </row>
    <row r="72" ht="14.85" customHeight="1" spans="1:14">
      <c r="A72" s="145"/>
      <c r="B72" s="129"/>
      <c r="C72" s="140" t="s">
        <v>18</v>
      </c>
      <c r="D72" s="130">
        <f t="shared" ref="D72:L72" si="16">D15+D30+D60+D57+D45</f>
        <v>14</v>
      </c>
      <c r="E72" s="130">
        <f t="shared" si="16"/>
        <v>0</v>
      </c>
      <c r="F72" s="130">
        <f t="shared" si="16"/>
        <v>0</v>
      </c>
      <c r="G72" s="130">
        <f t="shared" si="16"/>
        <v>0</v>
      </c>
      <c r="H72" s="130">
        <f t="shared" si="16"/>
        <v>0</v>
      </c>
      <c r="I72" s="130">
        <f t="shared" si="16"/>
        <v>0</v>
      </c>
      <c r="J72" s="130">
        <f t="shared" si="16"/>
        <v>0</v>
      </c>
      <c r="K72" s="130">
        <f t="shared" si="16"/>
        <v>0</v>
      </c>
      <c r="L72" s="130">
        <f t="shared" si="16"/>
        <v>0</v>
      </c>
      <c r="M72" s="130">
        <f t="shared" si="13"/>
        <v>14</v>
      </c>
      <c r="N72" s="149">
        <f>IF(ISERROR(M72/$M$5),"",M72/$M$5)</f>
        <v>0.00387596899224806</v>
      </c>
    </row>
    <row r="73" ht="14.85" customHeight="1" spans="1:14">
      <c r="A73" s="145"/>
      <c r="B73" s="129"/>
      <c r="C73" s="140" t="s">
        <v>19</v>
      </c>
      <c r="D73" s="130">
        <f t="shared" ref="D73:L73" si="17">D16+D31+D61+D58+D46</f>
        <v>384.5</v>
      </c>
      <c r="E73" s="130">
        <f t="shared" si="17"/>
        <v>0</v>
      </c>
      <c r="F73" s="130">
        <f t="shared" si="17"/>
        <v>0</v>
      </c>
      <c r="G73" s="130">
        <f t="shared" si="17"/>
        <v>0</v>
      </c>
      <c r="H73" s="130">
        <f t="shared" si="17"/>
        <v>0</v>
      </c>
      <c r="I73" s="130">
        <f t="shared" si="17"/>
        <v>0</v>
      </c>
      <c r="J73" s="130">
        <f t="shared" si="17"/>
        <v>0</v>
      </c>
      <c r="K73" s="130">
        <f t="shared" si="17"/>
        <v>0</v>
      </c>
      <c r="L73" s="130">
        <f t="shared" si="17"/>
        <v>0</v>
      </c>
      <c r="M73" s="130">
        <f t="shared" si="13"/>
        <v>384.5</v>
      </c>
      <c r="N73" s="149">
        <f>IF(ISERROR(M73/$M$6),"",M73/$M$6)</f>
        <v>0.00219266893544697</v>
      </c>
    </row>
    <row r="74" ht="14.85" customHeight="1" spans="1:14">
      <c r="A74" s="145"/>
      <c r="B74" s="154" t="s">
        <v>36</v>
      </c>
      <c r="C74" s="140" t="s">
        <v>17</v>
      </c>
      <c r="D74" s="130">
        <f t="shared" ref="D74:L74" si="18">D17+D32+D62+D47</f>
        <v>13</v>
      </c>
      <c r="E74" s="130">
        <f t="shared" si="18"/>
        <v>0</v>
      </c>
      <c r="F74" s="130">
        <f t="shared" si="18"/>
        <v>0</v>
      </c>
      <c r="G74" s="130">
        <f t="shared" si="18"/>
        <v>0</v>
      </c>
      <c r="H74" s="130">
        <f t="shared" si="18"/>
        <v>0</v>
      </c>
      <c r="I74" s="130">
        <f t="shared" si="18"/>
        <v>0</v>
      </c>
      <c r="J74" s="130">
        <f t="shared" si="18"/>
        <v>0</v>
      </c>
      <c r="K74" s="130">
        <f t="shared" si="18"/>
        <v>0</v>
      </c>
      <c r="L74" s="130">
        <f t="shared" si="18"/>
        <v>0</v>
      </c>
      <c r="M74" s="130">
        <f t="shared" si="13"/>
        <v>13</v>
      </c>
      <c r="N74" s="149">
        <f>IF(ISERROR(M74/$M$4),"",M74/$M$4)</f>
        <v>0.0373563218390805</v>
      </c>
    </row>
    <row r="75" ht="14.85" customHeight="1" spans="1:14">
      <c r="A75" s="145"/>
      <c r="B75" s="155"/>
      <c r="C75" s="140" t="s">
        <v>18</v>
      </c>
      <c r="D75" s="130">
        <f t="shared" ref="D75:L75" si="19">D18+D33+D63+D48</f>
        <v>17</v>
      </c>
      <c r="E75" s="130">
        <f t="shared" si="19"/>
        <v>0</v>
      </c>
      <c r="F75" s="130">
        <f t="shared" si="19"/>
        <v>0</v>
      </c>
      <c r="G75" s="130">
        <f t="shared" si="19"/>
        <v>0</v>
      </c>
      <c r="H75" s="130">
        <f t="shared" si="19"/>
        <v>0</v>
      </c>
      <c r="I75" s="130">
        <f t="shared" si="19"/>
        <v>0</v>
      </c>
      <c r="J75" s="130">
        <f t="shared" si="19"/>
        <v>0</v>
      </c>
      <c r="K75" s="130">
        <f t="shared" si="19"/>
        <v>0</v>
      </c>
      <c r="L75" s="130">
        <f t="shared" si="19"/>
        <v>0</v>
      </c>
      <c r="M75" s="130">
        <f t="shared" si="13"/>
        <v>17</v>
      </c>
      <c r="N75" s="149">
        <f>IF(ISERROR(M75/$M$5),"",M75/$M$5)</f>
        <v>0.00470653377630122</v>
      </c>
    </row>
    <row r="76" ht="14.85" customHeight="1" spans="1:14">
      <c r="A76" s="145"/>
      <c r="B76" s="155"/>
      <c r="C76" s="140" t="s">
        <v>19</v>
      </c>
      <c r="D76" s="130">
        <f t="shared" ref="D76:L76" si="20">D19+D34+D64+D49</f>
        <v>1018.2</v>
      </c>
      <c r="E76" s="130">
        <f t="shared" si="20"/>
        <v>0</v>
      </c>
      <c r="F76" s="130">
        <f t="shared" si="20"/>
        <v>0</v>
      </c>
      <c r="G76" s="130">
        <f t="shared" si="20"/>
        <v>0</v>
      </c>
      <c r="H76" s="130">
        <f t="shared" si="20"/>
        <v>0</v>
      </c>
      <c r="I76" s="143">
        <f t="shared" si="20"/>
        <v>0</v>
      </c>
      <c r="J76" s="130">
        <f t="shared" si="20"/>
        <v>0</v>
      </c>
      <c r="K76" s="143">
        <f t="shared" si="20"/>
        <v>0</v>
      </c>
      <c r="L76" s="130">
        <f t="shared" si="20"/>
        <v>0</v>
      </c>
      <c r="M76" s="130">
        <f t="shared" si="13"/>
        <v>1018.2</v>
      </c>
      <c r="N76" s="149">
        <f>IF(ISERROR(M76/$M$6),"",M76/$M$6)</f>
        <v>0.00580643825766478</v>
      </c>
    </row>
    <row r="77" ht="14.85" customHeight="1" spans="1:14">
      <c r="A77" s="145"/>
      <c r="B77" s="156"/>
      <c r="C77" s="140" t="s">
        <v>37</v>
      </c>
      <c r="D77" s="143">
        <f>SUMIFS(危旧房屋改造项目分表!$AC$6:$AC$353,危旧房屋改造项目分表!$B$6:$B$353,"芙蓉区",危旧房屋改造项目分表!$V$6:$V$353,"&gt;=90%")+SUMIFS(危旧房屋改造项目分表!$AC$6:$AC$353,危旧房屋改造项目分表!$B$6:$B$353,"芙蓉区",危旧房屋改造项目分表!$AB$6:$AB$353,"&gt;=90%")</f>
        <v>0</v>
      </c>
      <c r="E77" s="143">
        <f>SUMIFS(危旧房屋改造项目分表!$AC$6:$AC$353,危旧房屋改造项目分表!$B$6:$B$353,"天心区",危旧房屋改造项目分表!$V$6:$V$353,"&gt;=90%")+SUMIFS(危旧房屋改造项目分表!$AC$6:$AC$353,危旧房屋改造项目分表!$B$6:$B$353,"天心区",危旧房屋改造项目分表!$AB$6:$AB$353,"&gt;=90%")</f>
        <v>0</v>
      </c>
      <c r="F77" s="143">
        <f>SUMIFS(危旧房屋改造项目分表!$AC$6:$AC$353,危旧房屋改造项目分表!$B$6:$B$353,"岳麓区",危旧房屋改造项目分表!$V$6:$V$353,"&gt;=90%")+SUMIFS(危旧房屋改造项目分表!$AC$6:$AC$353,危旧房屋改造项目分表!$B$6:$B$353,"岳麓区",危旧房屋改造项目分表!$AB$6:$AB$353,"&gt;=90%")</f>
        <v>0</v>
      </c>
      <c r="G77" s="143">
        <f>SUMIFS(危旧房屋改造项目分表!$AC$6:$AC$353,危旧房屋改造项目分表!$B$6:$B$353,"开福区",危旧房屋改造项目分表!$V$6:$V$353,"&gt;=90%")+SUMIFS(危旧房屋改造项目分表!$AC$6:$AC$353,危旧房屋改造项目分表!$B$6:$B$353,"开福区",危旧房屋改造项目分表!$AB$6:$AB$353,"&gt;=90%")</f>
        <v>0</v>
      </c>
      <c r="H77" s="143">
        <f>SUMIFS(危旧房屋改造项目分表!$AC$6:$AC$353,危旧房屋改造项目分表!$B$6:$B$353,"雨花区",危旧房屋改造项目分表!$V$6:$V$353,"&gt;=90%")+SUMIFS(危旧房屋改造项目分表!$AC$6:$AC$353,危旧房屋改造项目分表!$B$6:$B$353,"雨花区",危旧房屋改造项目分表!$AB$6:$AB$353,"&gt;=90%")</f>
        <v>0</v>
      </c>
      <c r="I77" s="143">
        <f>SUMIFS(危旧房屋改造项目分表!$AC$6:$AC$353,危旧房屋改造项目分表!$B$6:$B$353,"长沙县",危旧房屋改造项目分表!$V$6:$V$353,"&gt;=90%")+SUMIFS(危旧房屋改造项目分表!$AC$6:$AC$353,危旧房屋改造项目分表!$B$6:$B$353,"长沙县",危旧房屋改造项目分表!$AB$6:$AB$353,"&gt;=90%")</f>
        <v>0</v>
      </c>
      <c r="J77" s="143">
        <f>SUMIFS(危旧房屋改造项目分表!$AC$6:$AC$353,危旧房屋改造项目分表!$B$6:$B$353,"望城区",危旧房屋改造项目分表!$V$6:$V$353,"&gt;=90%")+SUMIFS(危旧房屋改造项目分表!$AC$6:$AC$353,危旧房屋改造项目分表!$B$6:$B$353,"望城区",危旧房屋改造项目分表!$AB$6:$AB$353,"&gt;=90%")</f>
        <v>0</v>
      </c>
      <c r="K77" s="143">
        <f>SUMIFS(危旧房屋改造项目分表!$AC$6:$AC$353,危旧房屋改造项目分表!$B$6:$B$353,"浏阳市",危旧房屋改造项目分表!$V$6:$V$353,"&gt;=90%")+SUMIFS(危旧房屋改造项目分表!$AC$6:$AC$353,危旧房屋改造项目分表!$B$6:$B$353,"浏阳市",危旧房屋改造项目分表!$AB$6:$AB$353,"&gt;=90%")</f>
        <v>0</v>
      </c>
      <c r="L77" s="143">
        <f>SUMIFS(危旧房屋改造项目分表!$AC$6:$AC$353,危旧房屋改造项目分表!$B$6:$B$353,"宁乡市",危旧房屋改造项目分表!$V$6:$V$353,"&gt;=90%")+SUMIFS(危旧房屋改造项目分表!$AC$6:$AC$353,危旧房屋改造项目分表!$B$6:$B$353,"宁乡市",危旧房屋改造项目分表!$AB$6:$AB$353,"&gt;=90%")</f>
        <v>0</v>
      </c>
      <c r="M77" s="159">
        <f>SUM($D$77:$L$77)</f>
        <v>0</v>
      </c>
      <c r="N77" s="149">
        <f>IF(ISERROR(M77/$M$7),"",M77/$M$7)</f>
        <v>0</v>
      </c>
    </row>
    <row r="78" ht="14.85" customHeight="1" spans="1:14">
      <c r="A78" s="145"/>
      <c r="B78" s="129" t="s">
        <v>14</v>
      </c>
      <c r="C78" s="140" t="s">
        <v>17</v>
      </c>
      <c r="D78" s="141">
        <f t="shared" ref="D78:L78" si="21">D71+D74</f>
        <v>17</v>
      </c>
      <c r="E78" s="141">
        <f t="shared" si="21"/>
        <v>0</v>
      </c>
      <c r="F78" s="141">
        <f t="shared" si="21"/>
        <v>0</v>
      </c>
      <c r="G78" s="141">
        <f t="shared" si="21"/>
        <v>0</v>
      </c>
      <c r="H78" s="141">
        <f t="shared" si="21"/>
        <v>0</v>
      </c>
      <c r="I78" s="141">
        <f t="shared" si="21"/>
        <v>0</v>
      </c>
      <c r="J78" s="141">
        <f t="shared" si="21"/>
        <v>0</v>
      </c>
      <c r="K78" s="141">
        <f t="shared" si="21"/>
        <v>0</v>
      </c>
      <c r="L78" s="141">
        <f t="shared" si="21"/>
        <v>0</v>
      </c>
      <c r="M78" s="130">
        <f>SUM($D$78:$L$78)</f>
        <v>17</v>
      </c>
      <c r="N78" s="149">
        <f>IF(ISERROR(M78/M4),"",M78/M4)</f>
        <v>0.0488505747126437</v>
      </c>
    </row>
    <row r="79" ht="14.85" customHeight="1" spans="1:14">
      <c r="A79" s="145"/>
      <c r="B79" s="129"/>
      <c r="C79" s="140" t="s">
        <v>18</v>
      </c>
      <c r="D79" s="141">
        <f t="shared" ref="D79:L79" si="22">D72+D75</f>
        <v>31</v>
      </c>
      <c r="E79" s="141">
        <f t="shared" si="22"/>
        <v>0</v>
      </c>
      <c r="F79" s="141">
        <f t="shared" si="22"/>
        <v>0</v>
      </c>
      <c r="G79" s="141">
        <f t="shared" si="22"/>
        <v>0</v>
      </c>
      <c r="H79" s="141">
        <f t="shared" si="22"/>
        <v>0</v>
      </c>
      <c r="I79" s="141">
        <f t="shared" si="22"/>
        <v>0</v>
      </c>
      <c r="J79" s="141">
        <f t="shared" si="22"/>
        <v>0</v>
      </c>
      <c r="K79" s="141">
        <f t="shared" si="22"/>
        <v>0</v>
      </c>
      <c r="L79" s="141">
        <f t="shared" si="22"/>
        <v>0</v>
      </c>
      <c r="M79" s="130">
        <f>SUM($D$79:$L$79)</f>
        <v>31</v>
      </c>
      <c r="N79" s="149">
        <f>IF(ISERROR(M79/M5),"",M79/M5)</f>
        <v>0.00858250276854928</v>
      </c>
    </row>
    <row r="80" ht="14.85" customHeight="1" spans="1:14">
      <c r="A80" s="145"/>
      <c r="B80" s="129"/>
      <c r="C80" s="140" t="s">
        <v>19</v>
      </c>
      <c r="D80" s="141">
        <f t="shared" ref="D80:L80" si="23">D73+D76</f>
        <v>1402.7</v>
      </c>
      <c r="E80" s="141">
        <f t="shared" si="23"/>
        <v>0</v>
      </c>
      <c r="F80" s="141">
        <f t="shared" si="23"/>
        <v>0</v>
      </c>
      <c r="G80" s="141">
        <f t="shared" si="23"/>
        <v>0</v>
      </c>
      <c r="H80" s="141">
        <f t="shared" si="23"/>
        <v>0</v>
      </c>
      <c r="I80" s="141">
        <f t="shared" si="23"/>
        <v>0</v>
      </c>
      <c r="J80" s="141">
        <f t="shared" si="23"/>
        <v>0</v>
      </c>
      <c r="K80" s="141">
        <f t="shared" si="23"/>
        <v>0</v>
      </c>
      <c r="L80" s="141">
        <f t="shared" si="23"/>
        <v>0</v>
      </c>
      <c r="M80" s="130">
        <f>SUM($D$80:$L$80)</f>
        <v>1402.7</v>
      </c>
      <c r="N80" s="149">
        <f>IF(ISERROR(M80/M6),"",M80/M6)</f>
        <v>0.00799910719311175</v>
      </c>
    </row>
    <row r="81" ht="14.85" customHeight="1" spans="1:14">
      <c r="A81" s="145"/>
      <c r="B81" s="129"/>
      <c r="C81" s="140" t="s">
        <v>37</v>
      </c>
      <c r="D81" s="143">
        <f>SUMIFS(危旧房屋改造项目分表!$AC$6:$AC$353,危旧房屋改造项目分表!$B$6:$B$353,"芙蓉区")</f>
        <v>0</v>
      </c>
      <c r="E81" s="143">
        <f>SUMIFS(危旧房屋改造项目分表!$AC$6:$AC$353,危旧房屋改造项目分表!$B$6:$B$353,"天心区")</f>
        <v>0</v>
      </c>
      <c r="F81" s="143">
        <f>SUMIFS(危旧房屋改造项目分表!$AC$6:$AC$353,危旧房屋改造项目分表!$B$6:$B$353,"岳麓区")</f>
        <v>0</v>
      </c>
      <c r="G81" s="143">
        <f>SUMIFS(危旧房屋改造项目分表!$AC$6:$AC$353,危旧房屋改造项目分表!$B$6:$B$353,"开福区")</f>
        <v>0</v>
      </c>
      <c r="H81" s="143">
        <f>SUMIFS(危旧房屋改造项目分表!$AC$6:$AC$353,危旧房屋改造项目分表!$B$6:$B$353,"雨花区")</f>
        <v>0</v>
      </c>
      <c r="I81" s="143">
        <f>SUMIFS(危旧房屋改造项目分表!$AC$6:$AC$353,危旧房屋改造项目分表!$B$6:$B$353,"长沙县")</f>
        <v>0</v>
      </c>
      <c r="J81" s="143">
        <f>SUMIFS(危旧房屋改造项目分表!$AC$6:$AC$353,危旧房屋改造项目分表!$B$6:$B$353,"望城区")</f>
        <v>0</v>
      </c>
      <c r="K81" s="143">
        <f>SUMIFS(危旧房屋改造项目分表!$AC$6:$AC$353,危旧房屋改造项目分表!$B$6:$B$353,"浏阳市")</f>
        <v>0</v>
      </c>
      <c r="L81" s="143">
        <f>SUMIFS(危旧房屋改造项目分表!$AC$6:$AC$353,危旧房屋改造项目分表!$B$6:$B$353,"宁乡市")</f>
        <v>0</v>
      </c>
      <c r="M81" s="143">
        <f>SUM($D$81:$L$81)</f>
        <v>0</v>
      </c>
      <c r="N81" s="149">
        <f>IF(ISERROR(M81/M7),"",M81/M7)</f>
        <v>0</v>
      </c>
    </row>
    <row r="82" ht="14.85" customHeight="1" spans="1:14">
      <c r="A82" s="145"/>
      <c r="B82" s="129"/>
      <c r="C82" s="140" t="s">
        <v>38</v>
      </c>
      <c r="D82" s="149">
        <f>IFERROR((SUMPRODUCT((危旧房屋改造项目分表!$B$6:$B$353="芙蓉区")*(危旧房屋改造项目分表!$V$6:$V$353+危旧房屋改造项目分表!$AB$6:$AB$353))/D$4),"")</f>
        <v>0.491111111111111</v>
      </c>
      <c r="E82" s="149">
        <f>IFERROR((SUMPRODUCT((危旧房屋改造项目分表!$B$6:$B$353="天心区")*(危旧房屋改造项目分表!$V$6:$V$353+危旧房屋改造项目分表!$AB$6:$AB$353))/E$4),"")</f>
        <v>0</v>
      </c>
      <c r="F82" s="149">
        <f>IFERROR((SUMPRODUCT((危旧房屋改造项目分表!$B$6:$B$353="岳麓区")*(危旧房屋改造项目分表!$V$6:$V$353+危旧房屋改造项目分表!$AB$6:$AB$353))/F$4),"")</f>
        <v>0</v>
      </c>
      <c r="G82" s="149">
        <f>IFERROR((SUMPRODUCT((危旧房屋改造项目分表!$B$6:$B$353="开福区")*(危旧房屋改造项目分表!$V$6:$V$353+危旧房屋改造项目分表!$AB$6:$AB$353))/G$4),"")</f>
        <v>0</v>
      </c>
      <c r="H82" s="149">
        <f>IFERROR((SUMPRODUCT((危旧房屋改造项目分表!$B$6:$B$353="雨花区")*(危旧房屋改造项目分表!$V$6:$V$353+危旧房屋改造项目分表!$AB$6:$AB$353))/H$4),"")</f>
        <v>0</v>
      </c>
      <c r="I82" s="149">
        <f>IFERROR((SUMPRODUCT((危旧房屋改造项目分表!$B$6:$B$353="长沙县")*(危旧房屋改造项目分表!$V$6:$V$353+危旧房屋改造项目分表!$AB$6:$AB$353))/I$4),"")</f>
        <v>0</v>
      </c>
      <c r="J82" s="149">
        <f>IFERROR((SUMPRODUCT((危旧房屋改造项目分表!$B$6:$B$353="望城区")*(危旧房屋改造项目分表!$V$6:$V$353+危旧房屋改造项目分表!$AB$6:$AB$353))/J$4),"")</f>
        <v>0</v>
      </c>
      <c r="K82" s="149">
        <f>IFERROR((SUMPRODUCT((危旧房屋改造项目分表!$B$6:$B$353="浏阳市")*(危旧房屋改造项目分表!$V$6:$V$353+危旧房屋改造项目分表!$AB$6:$AB$353))/K$4),"")</f>
        <v>0</v>
      </c>
      <c r="L82" s="149" t="str">
        <f>IFERROR((SUMPRODUCT((危旧房屋改造项目分表!$B$6:$B$353="宁乡市")*(危旧房屋改造项目分表!$V$6:$V$353+危旧房屋改造项目分表!$AB$6:$AB$353))/L$4),"")</f>
        <v/>
      </c>
      <c r="M82" s="149">
        <f>IFERROR((SUMPRODUCT((危旧房屋改造项目分表!$V$6:$V$353+危旧房屋改造项目分表!$AB$6:$AB$353))/M$4),"")</f>
        <v>0.0635057471264368</v>
      </c>
      <c r="N82" s="158"/>
    </row>
    <row r="83" ht="14.85" customHeight="1" spans="1:14">
      <c r="A83" s="150"/>
      <c r="B83" s="129"/>
      <c r="C83" s="140" t="s">
        <v>39</v>
      </c>
      <c r="D83" s="149">
        <f t="shared" ref="D83:M83" si="24">D78/D4</f>
        <v>0.377777777777778</v>
      </c>
      <c r="E83" s="149">
        <f t="shared" si="24"/>
        <v>0</v>
      </c>
      <c r="F83" s="149">
        <f t="shared" si="24"/>
        <v>0</v>
      </c>
      <c r="G83" s="149">
        <f t="shared" si="24"/>
        <v>0</v>
      </c>
      <c r="H83" s="149">
        <f t="shared" si="24"/>
        <v>0</v>
      </c>
      <c r="I83" s="149">
        <f t="shared" si="24"/>
        <v>0</v>
      </c>
      <c r="J83" s="149">
        <f t="shared" si="24"/>
        <v>0</v>
      </c>
      <c r="K83" s="149">
        <f t="shared" si="24"/>
        <v>0</v>
      </c>
      <c r="L83" s="149" t="e">
        <f t="shared" si="24"/>
        <v>#DIV/0!</v>
      </c>
      <c r="M83" s="157">
        <f t="shared" si="24"/>
        <v>0.0488505747126437</v>
      </c>
      <c r="N83" s="158"/>
    </row>
    <row r="87" ht="2" customHeight="1"/>
  </sheetData>
  <protectedRanges>
    <protectedRange sqref="Q488:AA488" name="区域1"/>
    <protectedRange sqref="Q6:AA75 AB6:AB488" name="区域1_1"/>
  </protectedRanges>
  <mergeCells count="34">
    <mergeCell ref="A1:N1"/>
    <mergeCell ref="A2:C2"/>
    <mergeCell ref="M2:N2"/>
    <mergeCell ref="A3:C3"/>
    <mergeCell ref="A8:A22"/>
    <mergeCell ref="A23:A37"/>
    <mergeCell ref="A38:A52"/>
    <mergeCell ref="A53:A67"/>
    <mergeCell ref="A71:A83"/>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71:B73"/>
    <mergeCell ref="B74:B77"/>
    <mergeCell ref="B78:B83"/>
    <mergeCell ref="A4:B7"/>
    <mergeCell ref="A68:B70"/>
  </mergeCells>
  <pageMargins left="0.94375" right="0.388888888888889" top="0.979166666666667" bottom="0.588888888888889" header="0.5" footer="0.588888888888889"/>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N87"/>
  <sheetViews>
    <sheetView showZeros="0" zoomScale="143" zoomScaleNormal="143" workbookViewId="0">
      <pane xSplit="2" ySplit="3" topLeftCell="E60" activePane="bottomRight" state="frozen"/>
      <selection/>
      <selection pane="topRight"/>
      <selection pane="bottomLeft"/>
      <selection pane="bottomRight" activeCell="E39" sqref="E39"/>
    </sheetView>
  </sheetViews>
  <sheetFormatPr defaultColWidth="9.81666666666667" defaultRowHeight="14.25"/>
  <cols>
    <col min="1" max="1" width="8.175" style="118" customWidth="1"/>
    <col min="2" max="2" width="18.1083333333333" style="118" customWidth="1"/>
    <col min="3" max="3" width="12.6833333333333" style="119" customWidth="1"/>
    <col min="4" max="13" width="9.40833333333333" style="118" customWidth="1"/>
    <col min="14" max="14" width="10.5416666666667" style="118" customWidth="1"/>
    <col min="15" max="16384" width="9.81666666666667" style="118"/>
  </cols>
  <sheetData>
    <row r="1" ht="22.5" spans="1:14">
      <c r="A1" s="120" t="s">
        <v>40</v>
      </c>
      <c r="B1" s="121"/>
      <c r="C1" s="121"/>
      <c r="D1" s="121"/>
      <c r="E1" s="121"/>
      <c r="F1" s="121"/>
      <c r="G1" s="121"/>
      <c r="H1" s="121"/>
      <c r="I1" s="121"/>
      <c r="J1" s="121"/>
      <c r="K1" s="121"/>
      <c r="L1" s="121"/>
      <c r="M1" s="121"/>
      <c r="N1" s="121"/>
    </row>
    <row r="2" ht="13.5" spans="1:14">
      <c r="A2" s="122" t="s">
        <v>1</v>
      </c>
      <c r="B2" s="122"/>
      <c r="C2" s="123"/>
      <c r="D2" s="124"/>
      <c r="E2" s="124"/>
      <c r="F2" s="124"/>
      <c r="G2" s="124"/>
      <c r="H2" s="124"/>
      <c r="I2" s="146"/>
      <c r="J2" s="146"/>
      <c r="K2" s="146"/>
      <c r="L2" s="146" t="s">
        <v>2</v>
      </c>
      <c r="M2" s="147"/>
      <c r="N2" s="148"/>
    </row>
    <row r="3" ht="16" customHeight="1" spans="1:14">
      <c r="A3" s="125" t="s">
        <v>3</v>
      </c>
      <c r="B3" s="125"/>
      <c r="C3" s="125"/>
      <c r="D3" s="126" t="s">
        <v>4</v>
      </c>
      <c r="E3" s="126" t="s">
        <v>5</v>
      </c>
      <c r="F3" s="126" t="s">
        <v>6</v>
      </c>
      <c r="G3" s="126" t="s">
        <v>7</v>
      </c>
      <c r="H3" s="126" t="s">
        <v>8</v>
      </c>
      <c r="I3" s="126" t="s">
        <v>9</v>
      </c>
      <c r="J3" s="126" t="s">
        <v>10</v>
      </c>
      <c r="K3" s="126" t="s">
        <v>11</v>
      </c>
      <c r="L3" s="126" t="s">
        <v>12</v>
      </c>
      <c r="M3" s="126" t="s">
        <v>14</v>
      </c>
      <c r="N3" s="126" t="s">
        <v>15</v>
      </c>
    </row>
    <row r="4" ht="16" customHeight="1" spans="1:14">
      <c r="A4" s="127" t="s">
        <v>16</v>
      </c>
      <c r="B4" s="128"/>
      <c r="C4" s="129" t="s">
        <v>17</v>
      </c>
      <c r="D4" s="130">
        <f>SUMPRODUCT((危旧房屋改造项目分表!B$6:$B$353="芙蓉区")*(危旧房屋改造项目分表!$AD$6:AD$353="是"))</f>
        <v>0</v>
      </c>
      <c r="E4" s="130">
        <f>SUMPRODUCT((危旧房屋改造项目分表!B$6:$B$353="天心区")*(危旧房屋改造项目分表!$AD$6:AD$353="是"))</f>
        <v>0</v>
      </c>
      <c r="F4" s="130">
        <f>SUMPRODUCT((危旧房屋改造项目分表!B$6:$B$353="岳麓区")*(危旧房屋改造项目分表!$AD$6:AD$353="是"))</f>
        <v>0</v>
      </c>
      <c r="G4" s="130">
        <f>SUMPRODUCT((危旧房屋改造项目分表!B$6:$B$353="开福区")*(危旧房屋改造项目分表!$AD$6:AD$353="是"))</f>
        <v>0</v>
      </c>
      <c r="H4" s="130">
        <f>SUMPRODUCT((危旧房屋改造项目分表!B$6:$B$353="雨花区")*(危旧房屋改造项目分表!$AD$6:AD$353="是"))</f>
        <v>0</v>
      </c>
      <c r="I4" s="130">
        <f>SUMPRODUCT((危旧房屋改造项目分表!B$6:$B$353="长沙县")*(危旧房屋改造项目分表!$AD$6:AD$353="是"))</f>
        <v>0</v>
      </c>
      <c r="J4" s="130">
        <f>SUMPRODUCT((危旧房屋改造项目分表!B$6:$B$353="望城区")*(危旧房屋改造项目分表!$AD$6:AD$353="是"))</f>
        <v>0</v>
      </c>
      <c r="K4" s="130">
        <f>SUMPRODUCT((危旧房屋改造项目分表!B$6:$B$353="浏阳市")*(危旧房屋改造项目分表!$AD$6:AD$353="是"))</f>
        <v>0</v>
      </c>
      <c r="L4" s="130">
        <f>SUMPRODUCT((危旧房屋改造项目分表!B$6:$B$353="宁乡市")*(危旧房屋改造项目分表!$AD$6:AD$353="是"))</f>
        <v>0</v>
      </c>
      <c r="M4" s="130">
        <f>SUM($D$4:$L$4)</f>
        <v>0</v>
      </c>
      <c r="N4" s="130"/>
    </row>
    <row r="5" ht="14" customHeight="1" spans="1:14">
      <c r="A5" s="131"/>
      <c r="B5" s="132"/>
      <c r="C5" s="129" t="s">
        <v>18</v>
      </c>
      <c r="D5" s="130">
        <f>SUMIFS(危旧房屋改造项目分表!$K$6:$K$353,危旧房屋改造项目分表!$B$6:$B$353,"芙蓉区",危旧房屋改造项目分表!$AD$6:AD$353,"是")</f>
        <v>0</v>
      </c>
      <c r="E5" s="130">
        <f>SUMIFS(危旧房屋改造项目分表!$K$6:$K$353,危旧房屋改造项目分表!$B$6:$B$353,"天心区",危旧房屋改造项目分表!$AD$6:AD$353,"是")</f>
        <v>0</v>
      </c>
      <c r="F5" s="130">
        <f>SUMIFS(危旧房屋改造项目分表!$K$6:$K$353,危旧房屋改造项目分表!$B$6:$B$353,"岳麓区",危旧房屋改造项目分表!$AD$6:AD$353,"是")</f>
        <v>0</v>
      </c>
      <c r="G5" s="130">
        <f>SUMIFS(危旧房屋改造项目分表!$K$6:$K$353,危旧房屋改造项目分表!$B$6:$B$353,"开福区",危旧房屋改造项目分表!$AD$6:AD$353,"是")</f>
        <v>0</v>
      </c>
      <c r="H5" s="130">
        <f>SUMIFS(危旧房屋改造项目分表!$K$6:$K$353,危旧房屋改造项目分表!$B$6:$B$353,"雨花区",危旧房屋改造项目分表!$AD$6:AD$353,"是")</f>
        <v>0</v>
      </c>
      <c r="I5" s="130">
        <f>SUMIFS(危旧房屋改造项目分表!$K$6:$K$353,危旧房屋改造项目分表!$B$6:$B$353,"长沙县",危旧房屋改造项目分表!$AD$6:AD$353,"是")</f>
        <v>0</v>
      </c>
      <c r="J5" s="130">
        <f>SUMIFS(危旧房屋改造项目分表!$K$6:$K$353,危旧房屋改造项目分表!$B$6:$B$353,"望城区",危旧房屋改造项目分表!$AD$6:AD$353,"是")</f>
        <v>0</v>
      </c>
      <c r="K5" s="130">
        <f>SUMIFS(危旧房屋改造项目分表!$K$6:$K$353,危旧房屋改造项目分表!$B$6:$B$353,"浏阳市",危旧房屋改造项目分表!$AD$6:AD$353,"是")</f>
        <v>0</v>
      </c>
      <c r="L5" s="130">
        <f>SUMIFS(危旧房屋改造项目分表!$K$6:$K$353,危旧房屋改造项目分表!$B$6:$B$353,"宁乡市",危旧房屋改造项目分表!$AD$6:AD$353,"是")</f>
        <v>0</v>
      </c>
      <c r="M5" s="130">
        <f>SUM($D$5:$L$5)</f>
        <v>0</v>
      </c>
      <c r="N5" s="130"/>
    </row>
    <row r="6" ht="17" customHeight="1" spans="1:14">
      <c r="A6" s="131"/>
      <c r="B6" s="132"/>
      <c r="C6" s="129" t="s">
        <v>19</v>
      </c>
      <c r="D6" s="130">
        <f>SUMIFS(危旧房屋改造项目分表!$L$6:$L$353,危旧房屋改造项目分表!$B$6:$B$353,"芙蓉区",危旧房屋改造项目分表!$AD$6:AD$353,"是")</f>
        <v>0</v>
      </c>
      <c r="E6" s="130">
        <f>SUMIFS(危旧房屋改造项目分表!$L$6:$L$353,危旧房屋改造项目分表!$B$6:$B$353,"天心区",危旧房屋改造项目分表!$AD$6:AD$353,"是")</f>
        <v>0</v>
      </c>
      <c r="F6" s="130">
        <f>SUMIFS(危旧房屋改造项目分表!$L$6:$L$353,危旧房屋改造项目分表!$B$6:$B$353,"岳麓区",危旧房屋改造项目分表!$AD$6:AD$353,"是")</f>
        <v>0</v>
      </c>
      <c r="G6" s="130">
        <f>SUMIFS(危旧房屋改造项目分表!$L$6:$L$353,危旧房屋改造项目分表!$B$6:$B$353,"开福区",危旧房屋改造项目分表!$AD$6:AD$353,"是")</f>
        <v>0</v>
      </c>
      <c r="H6" s="130">
        <f>SUMIFS(危旧房屋改造项目分表!$L$6:$L$353,危旧房屋改造项目分表!$B$6:$B$353,"雨花区",危旧房屋改造项目分表!$AD$6:AD$353,"是")</f>
        <v>0</v>
      </c>
      <c r="I6" s="130">
        <f>SUMIFS(危旧房屋改造项目分表!$L$6:$L$353,危旧房屋改造项目分表!$B$6:$B$353,"长沙县",危旧房屋改造项目分表!$AD$6:AD$353,"是")</f>
        <v>0</v>
      </c>
      <c r="J6" s="130">
        <f>SUMIFS(危旧房屋改造项目分表!$L$6:$L$353,危旧房屋改造项目分表!$B$6:$B$353,"望城区",危旧房屋改造项目分表!$AD$6:AD$353,"是")</f>
        <v>0</v>
      </c>
      <c r="K6" s="130">
        <f>SUMIFS(危旧房屋改造项目分表!$L$6:$L$353,危旧房屋改造项目分表!$B$6:$B$353,"浏阳市",危旧房屋改造项目分表!$AD$6:AD$353,"是")</f>
        <v>0</v>
      </c>
      <c r="L6" s="130">
        <f>SUMIFS(危旧房屋改造项目分表!$L$6:$L$353,危旧房屋改造项目分表!$B$6:$B$353,"宁乡市",危旧房屋改造项目分表!$AD$6:AD$353,"是")</f>
        <v>0</v>
      </c>
      <c r="M6" s="130">
        <f>SUM($D$6:$L$6)</f>
        <v>0</v>
      </c>
      <c r="N6" s="130"/>
    </row>
    <row r="7" ht="15" customHeight="1" spans="1:14">
      <c r="A7" s="133"/>
      <c r="B7" s="134"/>
      <c r="C7" s="129" t="s">
        <v>20</v>
      </c>
      <c r="D7" s="130">
        <f>SUMIFS(危旧房屋改造项目分表!$P$6:$P$353,危旧房屋改造项目分表!$B$6:$B$353,"芙蓉区",危旧房屋改造项目分表!$AD$6:AD$353,"是")</f>
        <v>0</v>
      </c>
      <c r="E7" s="130">
        <f>SUMIFS(危旧房屋改造项目分表!$P$6:$P$353,危旧房屋改造项目分表!$B$6:$B$353,"天心区",危旧房屋改造项目分表!$AD$6:AD$353,"是")</f>
        <v>0</v>
      </c>
      <c r="F7" s="130">
        <f>SUMIFS(危旧房屋改造项目分表!$P$6:$P$353,危旧房屋改造项目分表!$B$6:$B$353,"岳麓区",危旧房屋改造项目分表!$AD$6:AD$353,"是")</f>
        <v>0</v>
      </c>
      <c r="G7" s="130">
        <f>SUMIFS(危旧房屋改造项目分表!$P$6:$P$353,危旧房屋改造项目分表!$B$6:$B$353,"开福区",危旧房屋改造项目分表!$AD$6:AD$353,"是")</f>
        <v>0</v>
      </c>
      <c r="H7" s="130">
        <f>SUMIFS(危旧房屋改造项目分表!$P$6:$P$353,危旧房屋改造项目分表!$B$6:$B$353,"雨花区",危旧房屋改造项目分表!$AD$6:AD$353,"是")</f>
        <v>0</v>
      </c>
      <c r="I7" s="130">
        <f>SUMIFS(危旧房屋改造项目分表!$P$6:$P$353,危旧房屋改造项目分表!$B$6:$B$353,"长沙县",危旧房屋改造项目分表!$AD$6:AD$353,"是")</f>
        <v>0</v>
      </c>
      <c r="J7" s="130">
        <f>SUMIFS(危旧房屋改造项目分表!$P$6:$P$353,危旧房屋改造项目分表!$B$6:$B$353,"望城区",危旧房屋改造项目分表!$AD$6:AD$353,"是")</f>
        <v>0</v>
      </c>
      <c r="K7" s="130">
        <f>SUMIFS(危旧房屋改造项目分表!$P$6:$P$353,危旧房屋改造项目分表!$B$6:$B$353,"浏阳市",危旧房屋改造项目分表!$AD$6:AD$353,"是")</f>
        <v>0</v>
      </c>
      <c r="L7" s="130">
        <f>SUMIFS(危旧房屋改造项目分表!$P$6:$P$353,危旧房屋改造项目分表!$B$6:$B$353,"宁乡市",危旧房屋改造项目分表!$AD$6:AD$353,"是")</f>
        <v>0</v>
      </c>
      <c r="M7" s="130">
        <f>SUM($D$7:$L$7)</f>
        <v>0</v>
      </c>
      <c r="N7" s="130"/>
    </row>
    <row r="8" ht="14.85" customHeight="1" spans="1:14">
      <c r="A8" s="135" t="s">
        <v>21</v>
      </c>
      <c r="B8" s="136" t="s">
        <v>22</v>
      </c>
      <c r="C8" s="129" t="s">
        <v>17</v>
      </c>
      <c r="D8" s="130">
        <f>IFERROR(SUMPRODUCT((危旧房屋改造项目分表!$B$6:$B$353=$D$3)*(危旧房屋改造项目分表!$AD$6:AD$353="是")*(危旧房屋改造项目分表!$O$6:$O$353="维修加固")*(危旧房屋改造项目分表!$V$6:$V$353&lt;=10%)*危旧房屋改造项目分表!$AF$6:$AF$353),"")</f>
        <v>0</v>
      </c>
      <c r="E8" s="130">
        <f>IFERROR(SUMPRODUCT((危旧房屋改造项目分表!$B$6:$B$353=$E$3)*(危旧房屋改造项目分表!$AD$6:AD$353="是")*(危旧房屋改造项目分表!$O$6:$O$353="维修加固")*(危旧房屋改造项目分表!$V$6:$V$353&lt;=10%)*危旧房屋改造项目分表!$AF$6:$AF$353),"")</f>
        <v>0</v>
      </c>
      <c r="F8" s="130">
        <f>IFERROR(SUMPRODUCT((危旧房屋改造项目分表!$B$6:$B$353=$F$3)*(危旧房屋改造项目分表!$AD$6:AD$353="是")*(危旧房屋改造项目分表!$O$6:$O$353="维修加固")*(危旧房屋改造项目分表!$V$6:$V$353&lt;10%)*危旧房屋改造项目分表!$AF$6:$AF$353),"")</f>
        <v>0</v>
      </c>
      <c r="G8" s="130">
        <f>IFERROR(SUMPRODUCT((危旧房屋改造项目分表!$B$6:$B$353=$G$3)*(危旧房屋改造项目分表!$AD$6:AD$353="是")*(危旧房屋改造项目分表!$O$6:$O$353="维修加固")*(危旧房屋改造项目分表!$V$6:$V$353&lt;10%)*危旧房屋改造项目分表!$AF$6:$AF$353),"")</f>
        <v>0</v>
      </c>
      <c r="H8" s="130">
        <f>IFERROR(SUMPRODUCT((危旧房屋改造项目分表!$B$6:$B$353=$H$3)*(危旧房屋改造项目分表!$AD$6:AD$353="是")*(危旧房屋改造项目分表!$O$6:$O$353="维修加固")*(危旧房屋改造项目分表!$V$6:$V$353&lt;10%)*危旧房屋改造项目分表!$AF$6:$AF$353),"")</f>
        <v>0</v>
      </c>
      <c r="I8" s="130">
        <f>IFERROR(SUMPRODUCT((危旧房屋改造项目分表!$B$6:$B$353=$I$3)*(危旧房屋改造项目分表!$AD$6:AD$353="是")*(危旧房屋改造项目分表!$O$6:$O$353="维修加固")*(危旧房屋改造项目分表!$V$6:$V$353&lt;10%)*危旧房屋改造项目分表!$AF$6:$AF$353),"")</f>
        <v>0</v>
      </c>
      <c r="J8" s="130">
        <f>IFERROR(SUMPRODUCT((危旧房屋改造项目分表!$B$6:$B$353=$J$3)*(危旧房屋改造项目分表!$AD$6:AD$353="是")*(危旧房屋改造项目分表!$O$6:$O$353="维修加固")*(危旧房屋改造项目分表!$V$6:$V$353&lt;10%)*危旧房屋改造项目分表!$AF$6:$AF$353),"")</f>
        <v>0</v>
      </c>
      <c r="K8" s="130">
        <f>IFERROR(SUMPRODUCT((危旧房屋改造项目分表!$B$6:$B$353=$K$3)*(危旧房屋改造项目分表!$AD$6:AD$353="是")*(危旧房屋改造项目分表!$O$6:$O$353="维修加固")*(危旧房屋改造项目分表!$V$6:$V$353&lt;10%)*危旧房屋改造项目分表!$AF$6:$AF$353),"")</f>
        <v>0</v>
      </c>
      <c r="L8" s="130">
        <f>IFERROR(SUMPRODUCT((危旧房屋改造项目分表!$B$6:$B$353=$L$3)*(危旧房屋改造项目分表!$AD$6:AD$353="是")*(危旧房屋改造项目分表!$O$6:$O$353="维修加固")*(危旧房屋改造项目分表!$V$6:$V$353&lt;10%)*危旧房屋改造项目分表!$AF$6:$AF$353),"")</f>
        <v>0</v>
      </c>
      <c r="M8" s="130">
        <f>SUM($D$8:$L$8)</f>
        <v>0</v>
      </c>
      <c r="N8" s="149" t="str">
        <f>IF(ISERROR(M8/$M$20),"",M8/$M$20)</f>
        <v/>
      </c>
    </row>
    <row r="9" ht="14.85" customHeight="1" spans="1:14">
      <c r="A9" s="137"/>
      <c r="B9" s="138"/>
      <c r="C9" s="129" t="s">
        <v>18</v>
      </c>
      <c r="D9" s="130">
        <f>IFERROR(SUMPRODUCT((危旧房屋改造项目分表!$B$6:$B$353=$D$3)*(危旧房屋改造项目分表!$AD$6:AD$353="是")*(危旧房屋改造项目分表!$O$6:$O$353="维修加固")*(危旧房屋改造项目分表!$V$6:$V$353&lt;=10%)*危旧房屋改造项目分表!$K$6:$K$353),"")</f>
        <v>0</v>
      </c>
      <c r="E9" s="130">
        <f>IFERROR(SUMPRODUCT((危旧房屋改造项目分表!$B$6:$B$353=$E$3)*(危旧房屋改造项目分表!$AD$6:AD$353="是")*(危旧房屋改造项目分表!$O$6:$O$353="维修加固")*(危旧房屋改造项目分表!$V$6:$V$353&lt;=10%)*危旧房屋改造项目分表!$K$6:$K$353),"")</f>
        <v>0</v>
      </c>
      <c r="F9" s="130">
        <f>IFERROR(SUMPRODUCT((危旧房屋改造项目分表!$B$6:$B$353=$F$3)*(危旧房屋改造项目分表!$AD$6:AD$353="是")*(危旧房屋改造项目分表!$O$6:$O$353="维修加固")*(危旧房屋改造项目分表!$V$6:$V$353&lt;10%)*危旧房屋改造项目分表!$K$6:$K$353),"")</f>
        <v>0</v>
      </c>
      <c r="G9" s="130">
        <f>IFERROR(SUMPRODUCT((危旧房屋改造项目分表!$B$6:$B$353=$G$3)*(危旧房屋改造项目分表!$AD$6:AD$353="是")*(危旧房屋改造项目分表!$O$6:$O$353="维修加固")*(危旧房屋改造项目分表!$V$6:$V$353&lt;10%)*危旧房屋改造项目分表!$K$6:$K$353),"")</f>
        <v>0</v>
      </c>
      <c r="H9" s="130">
        <f>IFERROR(SUMPRODUCT((危旧房屋改造项目分表!$B$6:$B$353=$H$3)*(危旧房屋改造项目分表!$AD$6:AD$353="是")*(危旧房屋改造项目分表!$O$6:$O$353="维修加固")*(危旧房屋改造项目分表!$V$6:$V$353&lt;10%)*危旧房屋改造项目分表!$K$6:$K$353),"")</f>
        <v>0</v>
      </c>
      <c r="I9" s="130">
        <f>IFERROR(SUMPRODUCT((危旧房屋改造项目分表!$B$6:$B$353=$I$3)*(危旧房屋改造项目分表!$AD$6:AD$353="是")*(危旧房屋改造项目分表!$O$6:$O$353="维修加固")*(危旧房屋改造项目分表!$V$6:$V$353&lt;10%)*危旧房屋改造项目分表!$K$6:$K$353),"")</f>
        <v>0</v>
      </c>
      <c r="J9" s="130">
        <f>IFERROR(SUMPRODUCT((危旧房屋改造项目分表!$B$6:$B$353=$J$3)*(危旧房屋改造项目分表!$AD$6:AD$353="是")*(危旧房屋改造项目分表!$O$6:$O$353="维修加固")*(危旧房屋改造项目分表!$V$6:$V$353&lt;10%)*危旧房屋改造项目分表!$K$6:$K$353),"")</f>
        <v>0</v>
      </c>
      <c r="K9" s="130">
        <f>IFERROR(SUMPRODUCT((危旧房屋改造项目分表!$B$6:$B$353=$K$3)*(危旧房屋改造项目分表!$AD$6:AD$353="是")*(危旧房屋改造项目分表!$O$6:$O$353="维修加固")*(危旧房屋改造项目分表!$V$6:$V$353&lt;10%)*危旧房屋改造项目分表!$K$6:$K$353),"")</f>
        <v>0</v>
      </c>
      <c r="L9" s="130">
        <f>IFERROR(SUMPRODUCT((危旧房屋改造项目分表!$B$6:$B$353=$L$3)*(危旧房屋改造项目分表!$AD$6:AD$353="是")*(危旧房屋改造项目分表!$O$6:$O$353="维修加固")*(危旧房屋改造项目分表!$V$6:$V$353&lt;10%)*危旧房屋改造项目分表!$K$6:$K$353),"")</f>
        <v>0</v>
      </c>
      <c r="M9" s="130">
        <f>SUM($D$9:$L$9)</f>
        <v>0</v>
      </c>
      <c r="N9" s="149" t="str">
        <f>IF(ISERROR(M9/$M$21),"",M9/$M$21)</f>
        <v/>
      </c>
    </row>
    <row r="10" ht="14.85" customHeight="1" spans="1:14">
      <c r="A10" s="137"/>
      <c r="B10" s="139"/>
      <c r="C10" s="129" t="s">
        <v>19</v>
      </c>
      <c r="D10" s="130">
        <f>IFERROR(SUMPRODUCT((危旧房屋改造项目分表!$B$6:$B$353=$D$3)*(危旧房屋改造项目分表!$AD$6:AD$353="是")*(危旧房屋改造项目分表!$O$6:$O$353="维修加固")*(危旧房屋改造项目分表!$V$6:$V$353&lt;=10%)*危旧房屋改造项目分表!$L$6:$L$353),"")</f>
        <v>0</v>
      </c>
      <c r="E10" s="130">
        <f>IFERROR(SUMPRODUCT((危旧房屋改造项目分表!$B$6:$B$353=$E$3)*(危旧房屋改造项目分表!$AD$6:AD$353="是")*(危旧房屋改造项目分表!$O$6:$O$353="维修加固")*(危旧房屋改造项目分表!$V$6:$V$353&lt;=10%)*危旧房屋改造项目分表!$L$6:$L$353),"")</f>
        <v>0</v>
      </c>
      <c r="F10" s="130">
        <f>IFERROR(SUMPRODUCT((危旧房屋改造项目分表!$B$6:$B$353=$F$3)*(危旧房屋改造项目分表!$AD$6:AD$353="是")*(危旧房屋改造项目分表!$O$6:$O$353="维修加固")*(危旧房屋改造项目分表!$V$6:$V$353&lt;=10%)*危旧房屋改造项目分表!$L$6:$L$353),"")</f>
        <v>0</v>
      </c>
      <c r="G10" s="130">
        <f>IFERROR(SUMPRODUCT((危旧房屋改造项目分表!$B$6:$B$353=$G$3)*(危旧房屋改造项目分表!$AD$6:AD$353="是")*(危旧房屋改造项目分表!$O$6:$O$353="维修加固")*(危旧房屋改造项目分表!$V$6:$V$353&lt;=10%)*危旧房屋改造项目分表!$L$6:$L$353),"")</f>
        <v>0</v>
      </c>
      <c r="H10" s="130">
        <f>IFERROR(SUMPRODUCT((危旧房屋改造项目分表!$B$6:$B$353=$H$3)*(危旧房屋改造项目分表!$AD$6:AD$353="是")*(危旧房屋改造项目分表!$O$6:$O$353="维修加固")*(危旧房屋改造项目分表!$V$6:$V$353&lt;=10%)*危旧房屋改造项目分表!$L$6:$L$353),"")</f>
        <v>0</v>
      </c>
      <c r="I10" s="130">
        <f>IFERROR(SUMPRODUCT((危旧房屋改造项目分表!$B$6:$B$353=$I$3)*(危旧房屋改造项目分表!$AD$6:AD$353="是")*(危旧房屋改造项目分表!$O$6:$O$353="维修加固")*(危旧房屋改造项目分表!$V$6:$V$353&lt;=10%)*危旧房屋改造项目分表!$L$6:$L$353),"")</f>
        <v>0</v>
      </c>
      <c r="J10" s="130">
        <f>IFERROR(SUMPRODUCT((危旧房屋改造项目分表!$B$6:$B$353=$J$3)*(危旧房屋改造项目分表!$AD$6:AD$353="是")*(危旧房屋改造项目分表!$O$6:$O$353="维修加固")*(危旧房屋改造项目分表!$V$6:$V$353&lt;=10%)*危旧房屋改造项目分表!$L$6:$L$353),"")</f>
        <v>0</v>
      </c>
      <c r="K10" s="130">
        <f>IFERROR(SUMPRODUCT((危旧房屋改造项目分表!$B$6:$B$353=$K$3)*(危旧房屋改造项目分表!$AD$6:AD$353="是")*(危旧房屋改造项目分表!$O$6:$O$353="维修加固")*(危旧房屋改造项目分表!$V$6:$V$353&lt;=10%)*危旧房屋改造项目分表!$L$6:$L$353),"")</f>
        <v>0</v>
      </c>
      <c r="L10" s="130">
        <f>IFERROR(SUMPRODUCT((危旧房屋改造项目分表!$B$6:$B$353=$L$3)*(危旧房屋改造项目分表!$AD$6:AD$353="是")*(危旧房屋改造项目分表!$O$6:$O$353="维修加固")*(危旧房屋改造项目分表!$V$6:$V$353&lt;=10%)*危旧房屋改造项目分表!$L$6:$L$353),"")</f>
        <v>0</v>
      </c>
      <c r="M10" s="130">
        <f>SUM($D$10:$L$10)</f>
        <v>0</v>
      </c>
      <c r="N10" s="149" t="str">
        <f>IF(ISERROR(M10/$M$22),"",M10/$M$22)</f>
        <v/>
      </c>
    </row>
    <row r="11" ht="14.85" customHeight="1" spans="1:14">
      <c r="A11" s="137"/>
      <c r="B11" s="140" t="s">
        <v>23</v>
      </c>
      <c r="C11" s="129" t="s">
        <v>17</v>
      </c>
      <c r="D11" s="130">
        <f>IFERROR(SUMPRODUCT((危旧房屋改造项目分表!$B$6:$B$353=$D$3)*(危旧房屋改造项目分表!$AD$6:AD$353="是")*(危旧房屋改造项目分表!$O$6:$O$353="维修加固")*(危旧房屋改造项目分表!$V$6:$V$353&gt;=11%)*(危旧房屋改造项目分表!$V$6:$V$353&lt;=30%)*危旧房屋改造项目分表!$AF$6:$AF$353),"")</f>
        <v>0</v>
      </c>
      <c r="E11" s="130">
        <f>IFERROR(SUMPRODUCT((危旧房屋改造项目分表!$B$6:$B$353=$E$3)*(危旧房屋改造项目分表!$AD$6:AD$353="是")*(危旧房屋改造项目分表!$O$6:$O$353="维修加固")*(危旧房屋改造项目分表!$V$6:$V$353&gt;=11%)*(危旧房屋改造项目分表!$V$6:$V$353&lt;=30%)*危旧房屋改造项目分表!$AF$6:$AF$353),"")</f>
        <v>0</v>
      </c>
      <c r="F11" s="130">
        <f>IFERROR(SUMPRODUCT((危旧房屋改造项目分表!$B$6:$B$353=$F$3)*(危旧房屋改造项目分表!$AD$6:AD$353="是")*(危旧房屋改造项目分表!$O$6:$O$353="维修加固")*(危旧房屋改造项目分表!$V$6:$V$353&gt;=11%)*(危旧房屋改造项目分表!$V$6:$V$353&lt;=30%)*危旧房屋改造项目分表!$AF$6:$AF$353),"")</f>
        <v>0</v>
      </c>
      <c r="G11" s="130">
        <f>IFERROR(SUMPRODUCT((危旧房屋改造项目分表!$B$6:$B$353=$G$3)*(危旧房屋改造项目分表!$AD$6:AD$353="是")*(危旧房屋改造项目分表!$O$6:$O$353="维修加固")*(危旧房屋改造项目分表!$V$6:$V$353&gt;=11%)*(危旧房屋改造项目分表!$V$6:$V$353&lt;=30%)*危旧房屋改造项目分表!$AF$6:$AF$353),"")</f>
        <v>0</v>
      </c>
      <c r="H11" s="130">
        <f>IFERROR(SUMPRODUCT((危旧房屋改造项目分表!$B$6:$B$353=$H$3)*(危旧房屋改造项目分表!$AD$6:AD$353="是")*(危旧房屋改造项目分表!$O$6:$O$353="维修加固")*(危旧房屋改造项目分表!$V$6:$V$353&gt;=11%)*(危旧房屋改造项目分表!$V$6:$V$353&lt;=30%)*危旧房屋改造项目分表!$AF$6:$AF$353),"")</f>
        <v>0</v>
      </c>
      <c r="I11" s="130">
        <f>IFERROR(SUMPRODUCT((危旧房屋改造项目分表!$B$6:$B$353=$I$3)*(危旧房屋改造项目分表!$AD$6:AD$353="是")*(危旧房屋改造项目分表!$O$6:$O$353="维修加固")*(危旧房屋改造项目分表!$V$6:$V$353&gt;=11%)*(危旧房屋改造项目分表!$V$6:$V$353&lt;=30%)*危旧房屋改造项目分表!$AF$6:$AF$353),"")</f>
        <v>0</v>
      </c>
      <c r="J11" s="130">
        <f>IFERROR(SUMPRODUCT((危旧房屋改造项目分表!$B$6:$B$353=$J$3)*(危旧房屋改造项目分表!$AD$6:AD$353="是")*(危旧房屋改造项目分表!$O$6:$O$353="维修加固")*(危旧房屋改造项目分表!$V$6:$V$353&gt;=11%)*(危旧房屋改造项目分表!$V$6:$V$353&lt;=30%)*危旧房屋改造项目分表!$AF$6:$AF$353),"")</f>
        <v>0</v>
      </c>
      <c r="K11" s="130">
        <f>IFERROR(SUMPRODUCT((危旧房屋改造项目分表!$B$6:$B$353=$K$3)*(危旧房屋改造项目分表!$AD$6:AD$353="是")*(危旧房屋改造项目分表!$O$6:$O$353="维修加固")*(危旧房屋改造项目分表!$V$6:$V$353&gt;=11%)*(危旧房屋改造项目分表!$V$6:$V$353&lt;=30%)*危旧房屋改造项目分表!$AF$6:$AF$353),"")</f>
        <v>0</v>
      </c>
      <c r="L11" s="130">
        <f>IFERROR(SUMPRODUCT((危旧房屋改造项目分表!$B$6:$B$353=$L$3)*(危旧房屋改造项目分表!$AD$6:AD$353="是")*(危旧房屋改造项目分表!$O$6:$O$353="维修加固")*(危旧房屋改造项目分表!$V$6:$V$353&gt;=11%)*(危旧房屋改造项目分表!$V$6:$V$353&lt;=30%)*危旧房屋改造项目分表!$AF$6:$AF$353),"")</f>
        <v>0</v>
      </c>
      <c r="M11" s="130">
        <f>SUM($D$11:$L$11)</f>
        <v>0</v>
      </c>
      <c r="N11" s="149" t="str">
        <f>IF(ISERROR(M11/$M$20),"",M11/$M$20)</f>
        <v/>
      </c>
    </row>
    <row r="12" ht="14.85" customHeight="1" spans="1:14">
      <c r="A12" s="137"/>
      <c r="B12" s="140"/>
      <c r="C12" s="129" t="s">
        <v>18</v>
      </c>
      <c r="D12" s="130">
        <f>IFERROR(SUMPRODUCT((危旧房屋改造项目分表!$B$6:$B$353=$D$3)*(危旧房屋改造项目分表!$AD$6:AD$353="是")*(危旧房屋改造项目分表!$O$6:$O$353="维修加固")*(危旧房屋改造项目分表!$V$6:$V$353&gt;=11%)*(危旧房屋改造项目分表!$V$6:$V$353&lt;=30%)*危旧房屋改造项目分表!$K$6:$K$353),"")</f>
        <v>0</v>
      </c>
      <c r="E12" s="130">
        <f>IFERROR(SUMPRODUCT((危旧房屋改造项目分表!$B$6:$B$353=$E$3)*(危旧房屋改造项目分表!$AD$6:AD$353="是")*(危旧房屋改造项目分表!$O$6:$O$353="维修加固")*(危旧房屋改造项目分表!$V$6:$V$353&gt;=11%)*(危旧房屋改造项目分表!$V$6:$V$353&lt;=30%)*危旧房屋改造项目分表!$K$6:$K$353),"")</f>
        <v>0</v>
      </c>
      <c r="F12" s="130">
        <f>IFERROR(SUMPRODUCT((危旧房屋改造项目分表!$B$6:$B$353=$F$3)*(危旧房屋改造项目分表!$AD$6:AD$353="是")*(危旧房屋改造项目分表!$O$6:$O$353="维修加固")*(危旧房屋改造项目分表!$V$6:$V$353&gt;=11%)*(危旧房屋改造项目分表!$V$6:$V$353&lt;=30%)*危旧房屋改造项目分表!$K$6:$K$353),"")</f>
        <v>0</v>
      </c>
      <c r="G12" s="130">
        <f>IFERROR(SUMPRODUCT((危旧房屋改造项目分表!$B$6:$B$353=$G$3)*(危旧房屋改造项目分表!$AD$6:AD$353="是")*(危旧房屋改造项目分表!$O$6:$O$353="维修加固")*(危旧房屋改造项目分表!$V$6:$V$353&gt;=11%)*(危旧房屋改造项目分表!$V$6:$V$353&lt;=30%)*危旧房屋改造项目分表!$K$6:$K$353),"")</f>
        <v>0</v>
      </c>
      <c r="H12" s="130">
        <f>IFERROR(SUMPRODUCT((危旧房屋改造项目分表!$B$6:$B$353=$H$3)*(危旧房屋改造项目分表!$AD$6:AD$353="是")*(危旧房屋改造项目分表!$O$6:$O$353="维修加固")*(危旧房屋改造项目分表!$V$6:$V$353&gt;=11%)*(危旧房屋改造项目分表!$V$6:$V$353&lt;=30%)*危旧房屋改造项目分表!$K$6:$K$353),"")</f>
        <v>0</v>
      </c>
      <c r="I12" s="130">
        <f>IFERROR(SUMPRODUCT((危旧房屋改造项目分表!$B$6:$B$353=$I$3)*(危旧房屋改造项目分表!$AD$6:AD$353="是")*(危旧房屋改造项目分表!$O$6:$O$353="维修加固")*(危旧房屋改造项目分表!$V$6:$V$353&gt;=11%)*(危旧房屋改造项目分表!$V$6:$V$353&lt;=30%)*危旧房屋改造项目分表!$K$6:$K$353),"")</f>
        <v>0</v>
      </c>
      <c r="J12" s="130">
        <f>IFERROR(SUMPRODUCT((危旧房屋改造项目分表!$B$6:$B$353=$J$3)*(危旧房屋改造项目分表!$AD$6:AD$353="是")*(危旧房屋改造项目分表!$O$6:$O$353="维修加固")*(危旧房屋改造项目分表!$V$6:$V$353&gt;=11%)*(危旧房屋改造项目分表!$V$6:$V$353&lt;=30%)*危旧房屋改造项目分表!$K$6:$K$353),"")</f>
        <v>0</v>
      </c>
      <c r="K12" s="130">
        <f>IFERROR(SUMPRODUCT((危旧房屋改造项目分表!$B$6:$B$353=$K$3)*(危旧房屋改造项目分表!$AD$6:AD$353="是")*(危旧房屋改造项目分表!$O$6:$O$353="维修加固")*(危旧房屋改造项目分表!$V$6:$V$353&gt;=11%)*(危旧房屋改造项目分表!$V$6:$V$353&lt;=30%)*危旧房屋改造项目分表!$K$6:$K$353),"")</f>
        <v>0</v>
      </c>
      <c r="L12" s="130">
        <f>IFERROR(SUMPRODUCT((危旧房屋改造项目分表!$B$6:$B$353=$L$3)*(危旧房屋改造项目分表!$AD$6:AD$353="是")*(危旧房屋改造项目分表!$O$6:$O$353="维修加固")*(危旧房屋改造项目分表!$V$6:$V$353&gt;=11%)*(危旧房屋改造项目分表!$V$6:$V$353&lt;=30%)*危旧房屋改造项目分表!$K$6:$K$353),"")</f>
        <v>0</v>
      </c>
      <c r="M12" s="130">
        <f>SUM($D$12:$L$12)</f>
        <v>0</v>
      </c>
      <c r="N12" s="149" t="str">
        <f>IF(ISERROR(M12/$M$21),"",M12/$M$21)</f>
        <v/>
      </c>
    </row>
    <row r="13" ht="14.85" customHeight="1" spans="1:14">
      <c r="A13" s="137"/>
      <c r="B13" s="140"/>
      <c r="C13" s="129" t="s">
        <v>19</v>
      </c>
      <c r="D13" s="130">
        <f>IFERROR(SUMPRODUCT((危旧房屋改造项目分表!$B$6:$B$353=$D$3)*(危旧房屋改造项目分表!$AD$6:AD$353="是")*(危旧房屋改造项目分表!$O$6:$O$353="维修加固")*(危旧房屋改造项目分表!$V$6:$V$353&gt;=11%)*(危旧房屋改造项目分表!$V$6:$V$353&lt;=30%)*危旧房屋改造项目分表!$L$6:$L$353),"")</f>
        <v>0</v>
      </c>
      <c r="E13" s="130">
        <f>IFERROR(SUMPRODUCT((危旧房屋改造项目分表!$B$6:$B$353=$E$3)*(危旧房屋改造项目分表!$AD$6:AD$353="是")*(危旧房屋改造项目分表!$O$6:$O$353="维修加固")*(危旧房屋改造项目分表!$V$6:$V$353&gt;=11%)*(危旧房屋改造项目分表!$V$6:$V$353&lt;=30%)*危旧房屋改造项目分表!$L$6:$L$353),"")</f>
        <v>0</v>
      </c>
      <c r="F13" s="130">
        <f>IFERROR(SUMPRODUCT((危旧房屋改造项目分表!$B$6:$B$353=$F$3)*(危旧房屋改造项目分表!$AD$6:AD$353="是")*(危旧房屋改造项目分表!$O$6:$O$353="维修加固")*(危旧房屋改造项目分表!$V$6:$V$353&gt;=11%)*(危旧房屋改造项目分表!$V$6:$V$353&lt;=30%)*危旧房屋改造项目分表!$L$6:$L$353),"")</f>
        <v>0</v>
      </c>
      <c r="G13" s="130">
        <f>IFERROR(SUMPRODUCT((危旧房屋改造项目分表!$B$6:$B$353=$G$3)*(危旧房屋改造项目分表!$AD$6:AD$353="是")*(危旧房屋改造项目分表!$O$6:$O$353="维修加固")*(危旧房屋改造项目分表!$V$6:$V$353&gt;=11%)*(危旧房屋改造项目分表!$V$6:$V$353&lt;=30%)*危旧房屋改造项目分表!$L$6:$L$353),"")</f>
        <v>0</v>
      </c>
      <c r="H13" s="130">
        <f>IFERROR(SUMPRODUCT((危旧房屋改造项目分表!$B$6:$B$353=$H$3)*(危旧房屋改造项目分表!$AD$6:AD$353="是")*(危旧房屋改造项目分表!$O$6:$O$353="维修加固")*(危旧房屋改造项目分表!$V$6:$V$353&gt;=11%)*(危旧房屋改造项目分表!$V$6:$V$353&lt;=30%)*危旧房屋改造项目分表!$L$6:$L$353),"")</f>
        <v>0</v>
      </c>
      <c r="I13" s="130">
        <f>IFERROR(SUMPRODUCT((危旧房屋改造项目分表!$B$6:$B$353=$I$3)*(危旧房屋改造项目分表!$AD$6:AD$353="是")*(危旧房屋改造项目分表!$O$6:$O$353="维修加固")*(危旧房屋改造项目分表!$V$6:$V$353&gt;=11%)*(危旧房屋改造项目分表!$V$6:$V$353&lt;=30%)*危旧房屋改造项目分表!$L$6:$L$353),"")</f>
        <v>0</v>
      </c>
      <c r="J13" s="130">
        <f>IFERROR(SUMPRODUCT((危旧房屋改造项目分表!$B$6:$B$353=$J$3)*(危旧房屋改造项目分表!$AD$6:AD$353="是")*(危旧房屋改造项目分表!$O$6:$O$353="维修加固")*(危旧房屋改造项目分表!$V$6:$V$353&gt;=11%)*(危旧房屋改造项目分表!$V$6:$V$353&lt;=30%)*危旧房屋改造项目分表!$L$6:$L$353),"")</f>
        <v>0</v>
      </c>
      <c r="K13" s="130">
        <f>IFERROR(SUMPRODUCT((危旧房屋改造项目分表!$B$6:$B$353=$K$3)*(危旧房屋改造项目分表!$AD$6:AD$353="是")*(危旧房屋改造项目分表!$O$6:$O$353="维修加固")*(危旧房屋改造项目分表!$V$6:$V$353&gt;=11%)*(危旧房屋改造项目分表!$V$6:$V$353&lt;=30%)*危旧房屋改造项目分表!$L$6:$L$353),"")</f>
        <v>0</v>
      </c>
      <c r="L13" s="130">
        <f>IFERROR(SUMPRODUCT((危旧房屋改造项目分表!$B$6:$B$353=$L$3)*(危旧房屋改造项目分表!$AD$6:AD$353="是")*(危旧房屋改造项目分表!$O$6:$O$353="维修加固")*(危旧房屋改造项目分表!$V$6:$V$353&gt;=11%)*(危旧房屋改造项目分表!$V$6:$V$353&lt;=30%)*危旧房屋改造项目分表!$L$6:$L$353),"")</f>
        <v>0</v>
      </c>
      <c r="M13" s="130">
        <f>SUM($D$13:$L$13)</f>
        <v>0</v>
      </c>
      <c r="N13" s="149" t="str">
        <f>IF(ISERROR(M13/$M$22),"",M13/$M$22)</f>
        <v/>
      </c>
    </row>
    <row r="14" ht="14.85" customHeight="1" spans="1:14">
      <c r="A14" s="137"/>
      <c r="B14" s="140" t="s">
        <v>24</v>
      </c>
      <c r="C14" s="129" t="s">
        <v>17</v>
      </c>
      <c r="D14" s="130">
        <f>IFERROR(SUMPRODUCT((危旧房屋改造项目分表!$B$6:$B$353=$D$3)*(危旧房屋改造项目分表!$AD$6:AD$353="是")*(危旧房屋改造项目分表!$O$6:$O$353="维修加固")*(危旧房屋改造项目分表!$V$6:$V$353&gt;=31%)*(危旧房屋改造项目分表!$V$6:$V$353&lt;=89%)*危旧房屋改造项目分表!$AF$6:$AF$353),"")</f>
        <v>0</v>
      </c>
      <c r="E14" s="130">
        <f>IFERROR(SUMPRODUCT((危旧房屋改造项目分表!$B$6:$B$353=$E$3)*(危旧房屋改造项目分表!$AD$6:AD$353="是")*(危旧房屋改造项目分表!$O$6:$O$353="维修加固")*(危旧房屋改造项目分表!$V$6:$V$353&gt;=31%)*(危旧房屋改造项目分表!$V$6:$V$353&lt;=89%)*危旧房屋改造项目分表!$AF$6:$AF$353),"")</f>
        <v>0</v>
      </c>
      <c r="F14" s="130">
        <f>IFERROR(SUMPRODUCT((危旧房屋改造项目分表!$B$6:$B$353=$F$3)*(危旧房屋改造项目分表!$AD$6:AD$353="是")*(危旧房屋改造项目分表!$O$6:$O$353="维修加固")*(危旧房屋改造项目分表!$V$6:$V$353&gt;=31%)*(危旧房屋改造项目分表!$V$6:$V$353&lt;=89%)*危旧房屋改造项目分表!$AF$6:$AF$353),"")</f>
        <v>0</v>
      </c>
      <c r="G14" s="130">
        <f>IFERROR(SUMPRODUCT((危旧房屋改造项目分表!$B$6:$B$353=$G$3)*(危旧房屋改造项目分表!$AD$6:AD$353="是")*(危旧房屋改造项目分表!$O$6:$O$353="维修加固")*(危旧房屋改造项目分表!$V$6:$V$353&gt;=31%)*(危旧房屋改造项目分表!$V$6:$V$353&lt;=89%)*危旧房屋改造项目分表!$AF$6:$AF$353),"")</f>
        <v>0</v>
      </c>
      <c r="H14" s="130">
        <f>IFERROR(SUMPRODUCT((危旧房屋改造项目分表!$B$6:$B$353=$H$3)*(危旧房屋改造项目分表!$AD$6:AD$353="是")*(危旧房屋改造项目分表!$O$6:$O$353="维修加固")*(危旧房屋改造项目分表!$V$6:$V$353&gt;=31%)*(危旧房屋改造项目分表!$V$6:$V$353&lt;=89%)*危旧房屋改造项目分表!$AF$6:$AF$353),"")</f>
        <v>0</v>
      </c>
      <c r="I14" s="130">
        <f>IFERROR(SUMPRODUCT((危旧房屋改造项目分表!$B$6:$B$353=$I$3)*(危旧房屋改造项目分表!$AD$6:AD$353="是")*(危旧房屋改造项目分表!$O$6:$O$353="维修加固")*(危旧房屋改造项目分表!$V$6:$V$353&gt;=31%)*(危旧房屋改造项目分表!$V$6:$V$353&lt;=89%)*危旧房屋改造项目分表!$AF$6:$AF$353),"")</f>
        <v>0</v>
      </c>
      <c r="J14" s="130">
        <f>IFERROR(SUMPRODUCT((危旧房屋改造项目分表!$B$6:$B$353=$J$3)*(危旧房屋改造项目分表!$AD$6:AD$353="是")*(危旧房屋改造项目分表!$O$6:$O$353="维修加固")*(危旧房屋改造项目分表!$V$6:$V$353&gt;=31%)*(危旧房屋改造项目分表!$V$6:$V$353&lt;=89%)*危旧房屋改造项目分表!$AF$6:$AF$353),"")</f>
        <v>0</v>
      </c>
      <c r="K14" s="130">
        <f>IFERROR(SUMPRODUCT((危旧房屋改造项目分表!$B$6:$B$353=$K$3)*(危旧房屋改造项目分表!$AD$6:AD$353="是")*(危旧房屋改造项目分表!$O$6:$O$353="维修加固")*(危旧房屋改造项目分表!$V$6:$V$353&gt;=31%)*(危旧房屋改造项目分表!$V$6:$V$353&lt;=89%)*危旧房屋改造项目分表!$AF$6:$AF$353),"")</f>
        <v>0</v>
      </c>
      <c r="L14" s="130">
        <f>IFERROR(SUMPRODUCT((危旧房屋改造项目分表!$B$6:$B$353=$L$3)*(危旧房屋改造项目分表!$AD$6:AD$353="是")*(危旧房屋改造项目分表!$O$6:$O$353="维修加固")*(危旧房屋改造项目分表!$V$6:$V$353&gt;=31%)*(危旧房屋改造项目分表!$V$6:$V$353&lt;=89%)*危旧房屋改造项目分表!$AF$6:$AF$353),"")</f>
        <v>0</v>
      </c>
      <c r="M14" s="130">
        <f>SUM($D$14:$L$14)</f>
        <v>0</v>
      </c>
      <c r="N14" s="149" t="str">
        <f>IF(ISERROR(M14/$M$20),"",M14/$M$20)</f>
        <v/>
      </c>
    </row>
    <row r="15" ht="14.85" customHeight="1" spans="1:14">
      <c r="A15" s="137"/>
      <c r="B15" s="140"/>
      <c r="C15" s="129" t="s">
        <v>18</v>
      </c>
      <c r="D15" s="130">
        <f>IFERROR(SUMPRODUCT((危旧房屋改造项目分表!$B$6:$B$353=$D$3)*(危旧房屋改造项目分表!$AD$6:AD$353="是")*(危旧房屋改造项目分表!$O$6:$O$353="维修加固")*(危旧房屋改造项目分表!$V$6:$V$353&gt;=31%)*(危旧房屋改造项目分表!$V$6:$V$353&lt;=89%)*危旧房屋改造项目分表!$K$6:$K$353),"")</f>
        <v>0</v>
      </c>
      <c r="E15" s="130">
        <f>IFERROR(SUMPRODUCT((危旧房屋改造项目分表!$B$6:$B$353=$E$3)*(危旧房屋改造项目分表!$AD$6:AD$353="是")*(危旧房屋改造项目分表!$O$6:$O$353="维修加固")*(危旧房屋改造项目分表!$V$6:$V$353&gt;=31%)*(危旧房屋改造项目分表!$V$6:$V$353&lt;=89%)*危旧房屋改造项目分表!$K$6:$K$353),"")</f>
        <v>0</v>
      </c>
      <c r="F15" s="130">
        <f>IFERROR(SUMPRODUCT((危旧房屋改造项目分表!$B$6:$B$353=$F$3)*(危旧房屋改造项目分表!$AD$6:AD$353="是")*(危旧房屋改造项目分表!$O$6:$O$353="维修加固")*(危旧房屋改造项目分表!$V$6:$V$353&gt;=31%)*(危旧房屋改造项目分表!$V$6:$V$353&lt;=89%)*危旧房屋改造项目分表!$K$6:$K$353),"")</f>
        <v>0</v>
      </c>
      <c r="G15" s="130">
        <f>IFERROR(SUMPRODUCT((危旧房屋改造项目分表!$B$6:$B$353=$G$3)*(危旧房屋改造项目分表!$AD$6:AD$353="是")*(危旧房屋改造项目分表!$O$6:$O$353="维修加固")*(危旧房屋改造项目分表!$V$6:$V$353&gt;=31%)*(危旧房屋改造项目分表!$V$6:$V$353&lt;=89%)*危旧房屋改造项目分表!$K$6:$K$353),"")</f>
        <v>0</v>
      </c>
      <c r="H15" s="130">
        <f>IFERROR(SUMPRODUCT((危旧房屋改造项目分表!$B$6:$B$353=$H$3)*(危旧房屋改造项目分表!$AD$6:AD$353="是")*(危旧房屋改造项目分表!$O$6:$O$353="维修加固")*(危旧房屋改造项目分表!$V$6:$V$353&gt;=31%)*(危旧房屋改造项目分表!$V$6:$V$353&lt;=89%)*危旧房屋改造项目分表!$K$6:$K$353),"")</f>
        <v>0</v>
      </c>
      <c r="I15" s="130">
        <f>IFERROR(SUMPRODUCT((危旧房屋改造项目分表!$B$6:$B$353=$I$3)*(危旧房屋改造项目分表!$AD$6:AD$353="是")*(危旧房屋改造项目分表!$O$6:$O$353="维修加固")*(危旧房屋改造项目分表!$V$6:$V$353&gt;=31%)*(危旧房屋改造项目分表!$V$6:$V$353&lt;=89%)*危旧房屋改造项目分表!$K$6:$K$353),"")</f>
        <v>0</v>
      </c>
      <c r="J15" s="130">
        <f>IFERROR(SUMPRODUCT((危旧房屋改造项目分表!$B$6:$B$353=$J$3)*(危旧房屋改造项目分表!$AD$6:AD$353="是")*(危旧房屋改造项目分表!$O$6:$O$353="维修加固")*(危旧房屋改造项目分表!$V$6:$V$353&gt;=31%)*(危旧房屋改造项目分表!$V$6:$V$353&lt;=89%)*危旧房屋改造项目分表!$K$6:$K$353),"")</f>
        <v>0</v>
      </c>
      <c r="K15" s="130">
        <f>IFERROR(SUMPRODUCT((危旧房屋改造项目分表!$B$6:$B$353=$K$3)*(危旧房屋改造项目分表!$AD$6:AD$353="是")*(危旧房屋改造项目分表!$O$6:$O$353="维修加固")*(危旧房屋改造项目分表!$V$6:$V$353&gt;=31%)*(危旧房屋改造项目分表!$V$6:$V$353&lt;=89%)*危旧房屋改造项目分表!$K$6:$K$353),"")</f>
        <v>0</v>
      </c>
      <c r="L15" s="130">
        <f>IFERROR(SUMPRODUCT((危旧房屋改造项目分表!$B$6:$B$353=$L$3)*(危旧房屋改造项目分表!$AD$6:AD$353="是")*(危旧房屋改造项目分表!$O$6:$O$353="维修加固")*(危旧房屋改造项目分表!$V$6:$V$353&gt;=31%)*(危旧房屋改造项目分表!$V$6:$V$353&lt;=89%)*危旧房屋改造项目分表!$K$6:$K$353),"")</f>
        <v>0</v>
      </c>
      <c r="M15" s="130">
        <f>SUM($D$15:$L$15)</f>
        <v>0</v>
      </c>
      <c r="N15" s="149" t="str">
        <f>IF(ISERROR(M15/$M$21),"",M15/$M$21)</f>
        <v/>
      </c>
    </row>
    <row r="16" ht="14.85" customHeight="1" spans="1:14">
      <c r="A16" s="137"/>
      <c r="B16" s="140"/>
      <c r="C16" s="129" t="s">
        <v>19</v>
      </c>
      <c r="D16" s="130">
        <f>IFERROR(SUMPRODUCT((危旧房屋改造项目分表!$B$6:$B$353=$D$3)*(危旧房屋改造项目分表!$AD$6:AD$353="是")*(危旧房屋改造项目分表!$O$6:$O$353="维修加固")*(危旧房屋改造项目分表!$V$6:$V$353&gt;=31%)*(危旧房屋改造项目分表!$V$6:$V$353&lt;=89%)*危旧房屋改造项目分表!$L$6:$L$353),"")</f>
        <v>0</v>
      </c>
      <c r="E16" s="130">
        <f>IFERROR(SUMPRODUCT((危旧房屋改造项目分表!$B$6:$B$353=$E$3)*(危旧房屋改造项目分表!$AD$6:AD$353="是")*(危旧房屋改造项目分表!$O$6:$O$353="维修加固")*(危旧房屋改造项目分表!$V$6:$V$353&gt;=31%)*(危旧房屋改造项目分表!$V$6:$V$353&lt;=89%)*危旧房屋改造项目分表!$L$6:$L$353),"")</f>
        <v>0</v>
      </c>
      <c r="F16" s="130">
        <f>IFERROR(SUMPRODUCT((危旧房屋改造项目分表!$B$6:$B$353=$F$3)*(危旧房屋改造项目分表!$AD$6:AD$353="是")*(危旧房屋改造项目分表!$O$6:$O$353="维修加固")*(危旧房屋改造项目分表!$V$6:$V$353&gt;=31%)*(危旧房屋改造项目分表!$V$6:$V$353&lt;=89%)*危旧房屋改造项目分表!$L$6:$L$353),"")</f>
        <v>0</v>
      </c>
      <c r="G16" s="130">
        <f>IFERROR(SUMPRODUCT((危旧房屋改造项目分表!$B$6:$B$353=$G$3)*(危旧房屋改造项目分表!$AD$6:AD$353="是")*(危旧房屋改造项目分表!$O$6:$O$353="维修加固")*(危旧房屋改造项目分表!$V$6:$V$353&gt;=31%)*(危旧房屋改造项目分表!$V$6:$V$353&lt;=89%)*危旧房屋改造项目分表!$L$6:$L$353),"")</f>
        <v>0</v>
      </c>
      <c r="H16" s="130">
        <f>IFERROR(SUMPRODUCT((危旧房屋改造项目分表!$B$6:$B$353=$H$3)*(危旧房屋改造项目分表!$AD$6:AD$353="是")*(危旧房屋改造项目分表!$O$6:$O$353="维修加固")*(危旧房屋改造项目分表!$V$6:$V$353&gt;=31%)*(危旧房屋改造项目分表!$V$6:$V$353&lt;=89%)*危旧房屋改造项目分表!$L$6:$L$353),"")</f>
        <v>0</v>
      </c>
      <c r="I16" s="130">
        <f>IFERROR(SUMPRODUCT((危旧房屋改造项目分表!$B$6:$B$353=$I$3)*(危旧房屋改造项目分表!$AD$6:AD$353="是")*(危旧房屋改造项目分表!$O$6:$O$353="维修加固")*(危旧房屋改造项目分表!$V$6:$V$353&gt;=31%)*(危旧房屋改造项目分表!$V$6:$V$353&lt;=89%)*危旧房屋改造项目分表!$L$6:$L$353),"")</f>
        <v>0</v>
      </c>
      <c r="J16" s="130">
        <f>IFERROR(SUMPRODUCT((危旧房屋改造项目分表!$B$6:$B$353=$J$3)*(危旧房屋改造项目分表!$AD$6:AD$353="是")*(危旧房屋改造项目分表!$O$6:$O$353="维修加固")*(危旧房屋改造项目分表!$V$6:$V$353&gt;=31%)*(危旧房屋改造项目分表!$V$6:$V$353&lt;=89%)*危旧房屋改造项目分表!$L$6:$L$353),"")</f>
        <v>0</v>
      </c>
      <c r="K16" s="130">
        <f>IFERROR(SUMPRODUCT((危旧房屋改造项目分表!$B$6:$B$353=$K$3)*(危旧房屋改造项目分表!$AD$6:AD$353="是")*(危旧房屋改造项目分表!$O$6:$O$353="维修加固")*(危旧房屋改造项目分表!$V$6:$V$353&gt;=31%)*(危旧房屋改造项目分表!$V$6:$V$353&lt;=89%)*危旧房屋改造项目分表!$L$6:$L$353),"")</f>
        <v>0</v>
      </c>
      <c r="L16" s="130">
        <f>IFERROR(SUMPRODUCT((危旧房屋改造项目分表!$B$6:$B$353=$L$3)*(危旧房屋改造项目分表!$AD$6:AD$353="是")*(危旧房屋改造项目分表!$O$6:$O$353="维修加固")*(危旧房屋改造项目分表!$V$6:$V$353&gt;=31%)*(危旧房屋改造项目分表!$V$6:$V$353&lt;=89%)*危旧房屋改造项目分表!$L$6:$L$353),"")</f>
        <v>0</v>
      </c>
      <c r="M16" s="130">
        <f>SUM($D$16:$L$16)</f>
        <v>0</v>
      </c>
      <c r="N16" s="149" t="str">
        <f>IF(ISERROR(M16/$M$22),"",M16/$M$22)</f>
        <v/>
      </c>
    </row>
    <row r="17" ht="14.85" customHeight="1" spans="1:14">
      <c r="A17" s="137"/>
      <c r="B17" s="140" t="s">
        <v>25</v>
      </c>
      <c r="C17" s="129" t="s">
        <v>17</v>
      </c>
      <c r="D17" s="130">
        <f>IFERROR(SUMPRODUCT((危旧房屋改造项目分表!$B$6:$B$353=$D$3)*(危旧房屋改造项目分表!$AD$6:AD$353="是")*(危旧房屋改造项目分表!$O$6:$O$353="维修加固")*(危旧房屋改造项目分表!$V$6:$V$353&gt;=90%)*危旧房屋改造项目分表!$AF$6:$AF$353),"")</f>
        <v>0</v>
      </c>
      <c r="E17" s="130">
        <f>IFERROR(SUMPRODUCT((危旧房屋改造项目分表!$B$6:$B$353=$E$3)*(危旧房屋改造项目分表!$AD$6:AD$353="是")*(危旧房屋改造项目分表!$O$6:$O$353="维修加固")*(危旧房屋改造项目分表!$V$6:$V$353&gt;=90%)*危旧房屋改造项目分表!$AF$6:$AF$353),"")</f>
        <v>0</v>
      </c>
      <c r="F17" s="130">
        <f>IFERROR(SUMPRODUCT((危旧房屋改造项目分表!$B$6:$B$353=$F$3)*(危旧房屋改造项目分表!$AD$6:AD$353="是")*(危旧房屋改造项目分表!$O$6:$O$353="维修加固")*(危旧房屋改造项目分表!$V$6:$V$353&gt;=90%)*危旧房屋改造项目分表!$AF$6:$AF$353),"")</f>
        <v>0</v>
      </c>
      <c r="G17" s="130">
        <f>IFERROR(SUMPRODUCT((危旧房屋改造项目分表!$B$6:$B$353=$G$3)*(危旧房屋改造项目分表!$AD$6:AD$353="是")*(危旧房屋改造项目分表!$O$6:$O$353="维修加固")*(危旧房屋改造项目分表!$V$6:$V$353&gt;=90%)*危旧房屋改造项目分表!$AF$6:$AF$353),"")</f>
        <v>0</v>
      </c>
      <c r="H17" s="130">
        <f>IFERROR(SUMPRODUCT((危旧房屋改造项目分表!$B$6:$B$353=$H$3)*(危旧房屋改造项目分表!$AD$6:AD$353="是")*(危旧房屋改造项目分表!$O$6:$O$353="维修加固")*(危旧房屋改造项目分表!$V$6:$V$353&gt;=90%)*危旧房屋改造项目分表!$AF$6:$AF$353),"")</f>
        <v>0</v>
      </c>
      <c r="I17" s="130">
        <f>IFERROR(SUMPRODUCT((危旧房屋改造项目分表!$B$6:$B$353=$I$3)*(危旧房屋改造项目分表!$AD$6:AD$353="是")*(危旧房屋改造项目分表!$O$6:$O$353="维修加固")*(危旧房屋改造项目分表!$V$6:$V$353&gt;=90%)*危旧房屋改造项目分表!$AF$6:$AF$353),"")</f>
        <v>0</v>
      </c>
      <c r="J17" s="130">
        <f>IFERROR(SUMPRODUCT((危旧房屋改造项目分表!$B$6:$B$353=$J$3)*(危旧房屋改造项目分表!$AD$6:AD$353="是")*(危旧房屋改造项目分表!$O$6:$O$353="维修加固")*(危旧房屋改造项目分表!$V$6:$V$353&gt;=90%)*危旧房屋改造项目分表!$AF$6:$AF$353),"")</f>
        <v>0</v>
      </c>
      <c r="K17" s="130">
        <f>IFERROR(SUMPRODUCT((危旧房屋改造项目分表!$B$6:$B$353=$K$3)*(危旧房屋改造项目分表!$AD$6:AD$353="是")*(危旧房屋改造项目分表!$O$6:$O$353="维修加固")*(危旧房屋改造项目分表!$V$6:$V$353&gt;=90%)*危旧房屋改造项目分表!$AF$6:$AF$353),"")</f>
        <v>0</v>
      </c>
      <c r="L17" s="130">
        <f>IFERROR(SUMPRODUCT((危旧房屋改造项目分表!$B$6:$B$353=$L$3)*(危旧房屋改造项目分表!$AD$6:AD$353="是")*(危旧房屋改造项目分表!$O$6:$O$353="维修加固")*(危旧房屋改造项目分表!$V$6:$V$353&gt;=90%)*危旧房屋改造项目分表!$AF$6:$AF$353),"")</f>
        <v>0</v>
      </c>
      <c r="M17" s="130">
        <f>SUM($D$17:$L$17)</f>
        <v>0</v>
      </c>
      <c r="N17" s="149" t="str">
        <f>IF(ISERROR(M17/$M$20),"",M17/$M$20)</f>
        <v/>
      </c>
    </row>
    <row r="18" ht="14.85" customHeight="1" spans="1:14">
      <c r="A18" s="137"/>
      <c r="B18" s="140"/>
      <c r="C18" s="129" t="s">
        <v>18</v>
      </c>
      <c r="D18" s="130">
        <f>IFERROR(SUMPRODUCT((危旧房屋改造项目分表!$B$6:$B$353=$D$3)*(危旧房屋改造项目分表!$AD$6:AD$353="是")*(危旧房屋改造项目分表!$O$6:$O$353="维修加固")*(危旧房屋改造项目分表!$V$6:$V$353&gt;=90%)*危旧房屋改造项目分表!$K$6:$K$353),"")</f>
        <v>0</v>
      </c>
      <c r="E18" s="130">
        <f>IFERROR(SUMPRODUCT((危旧房屋改造项目分表!$B$6:$B$353=$E$3)*(危旧房屋改造项目分表!$AD$6:AD$353="是")*(危旧房屋改造项目分表!$O$6:$O$353="维修加固")*(危旧房屋改造项目分表!$V$6:$V$353&gt;=90%)*危旧房屋改造项目分表!$K$6:$K$353),"")</f>
        <v>0</v>
      </c>
      <c r="F18" s="130">
        <f>IFERROR(SUMPRODUCT((危旧房屋改造项目分表!$B$6:$B$353=$F$3)*(危旧房屋改造项目分表!$AD$6:AD$353="是")*(危旧房屋改造项目分表!$O$6:$O$353="维修加固")*(危旧房屋改造项目分表!$V$6:$V$353&gt;=90%)*危旧房屋改造项目分表!$K$6:$K$353),"")</f>
        <v>0</v>
      </c>
      <c r="G18" s="130">
        <f>IFERROR(SUMPRODUCT((危旧房屋改造项目分表!$B$6:$B$353=$G$3)*(危旧房屋改造项目分表!$AD$6:AD$353="是")*(危旧房屋改造项目分表!$O$6:$O$353="维修加固")*(危旧房屋改造项目分表!$V$6:$V$353&gt;=90%)*危旧房屋改造项目分表!$K$6:$K$353),"")</f>
        <v>0</v>
      </c>
      <c r="H18" s="130">
        <f>IFERROR(SUMPRODUCT((危旧房屋改造项目分表!$B$6:$B$353=$H$3)*(危旧房屋改造项目分表!$AD$6:AD$353="是")*(危旧房屋改造项目分表!$O$6:$O$353="维修加固")*(危旧房屋改造项目分表!$V$6:$V$353&gt;=90%)*危旧房屋改造项目分表!$K$6:$K$353),"")</f>
        <v>0</v>
      </c>
      <c r="I18" s="130">
        <f>IFERROR(SUMPRODUCT((危旧房屋改造项目分表!$B$6:$B$353=$I$3)*(危旧房屋改造项目分表!$AD$6:AD$353="是")*(危旧房屋改造项目分表!$O$6:$O$353="维修加固")*(危旧房屋改造项目分表!$V$6:$V$353&gt;=90%)*危旧房屋改造项目分表!$K$6:$K$353),"")</f>
        <v>0</v>
      </c>
      <c r="J18" s="130">
        <f>IFERROR(SUMPRODUCT((危旧房屋改造项目分表!$B$6:$B$353=$J$3)*(危旧房屋改造项目分表!$AD$6:AD$353="是")*(危旧房屋改造项目分表!$O$6:$O$353="维修加固")*(危旧房屋改造项目分表!$V$6:$V$353&gt;=90%)*危旧房屋改造项目分表!$K$6:$K$353),"")</f>
        <v>0</v>
      </c>
      <c r="K18" s="130">
        <f>IFERROR(SUMPRODUCT((危旧房屋改造项目分表!$B$6:$B$353=$K$3)*(危旧房屋改造项目分表!$AD$6:AD$353="是")*(危旧房屋改造项目分表!$O$6:$O$353="维修加固")*(危旧房屋改造项目分表!$V$6:$V$353&gt;=90%)*危旧房屋改造项目分表!$K$6:$K$353),"")</f>
        <v>0</v>
      </c>
      <c r="L18" s="130">
        <f>IFERROR(SUMPRODUCT((危旧房屋改造项目分表!$B$6:$B$353=$L$3)*(危旧房屋改造项目分表!$AD$6:AD$353="是")*(危旧房屋改造项目分表!$O$6:$O$353="维修加固")*(危旧房屋改造项目分表!$V$6:$V$353&gt;=90%)*危旧房屋改造项目分表!$K$6:$K$353),"")</f>
        <v>0</v>
      </c>
      <c r="M18" s="130">
        <f>SUM($D$18:$L$18)</f>
        <v>0</v>
      </c>
      <c r="N18" s="149" t="str">
        <f>IF(ISERROR(M18/$M$21),"",M18/$M$21)</f>
        <v/>
      </c>
    </row>
    <row r="19" ht="14.85" customHeight="1" spans="1:14">
      <c r="A19" s="137"/>
      <c r="B19" s="140"/>
      <c r="C19" s="129" t="s">
        <v>19</v>
      </c>
      <c r="D19" s="130">
        <f>IFERROR(SUMPRODUCT((危旧房屋改造项目分表!$B$6:$B$353=$D$3)*(危旧房屋改造项目分表!$AD$6:AD$353="是")*(危旧房屋改造项目分表!$O$6:$O$353="维修加固")*(危旧房屋改造项目分表!$V$6:$V$353&gt;=90%)*危旧房屋改造项目分表!$L$6:$L$353),"")</f>
        <v>0</v>
      </c>
      <c r="E19" s="130">
        <f>IFERROR(SUMPRODUCT((危旧房屋改造项目分表!$B$6:$B$353=$E$3)*(危旧房屋改造项目分表!$AD$6:AD$353="是")*(危旧房屋改造项目分表!$O$6:$O$353="维修加固")*(危旧房屋改造项目分表!$V$6:$V$353&gt;=90%)*危旧房屋改造项目分表!$L$6:$L$353),"")</f>
        <v>0</v>
      </c>
      <c r="F19" s="130">
        <f>IFERROR(SUMPRODUCT((危旧房屋改造项目分表!$B$6:$B$353=$F$3)*(危旧房屋改造项目分表!$AD$6:AD$353="是")*(危旧房屋改造项目分表!$O$6:$O$353="维修加固")*(危旧房屋改造项目分表!$V$6:$V$353&gt;=90%)*危旧房屋改造项目分表!$L$6:$L$353),"")</f>
        <v>0</v>
      </c>
      <c r="G19" s="130">
        <f>IFERROR(SUMPRODUCT((危旧房屋改造项目分表!$B$6:$B$353=$G$3)*(危旧房屋改造项目分表!$AD$6:AD$353="是")*(危旧房屋改造项目分表!$O$6:$O$353="维修加固")*(危旧房屋改造项目分表!$V$6:$V$353&gt;=90%)*危旧房屋改造项目分表!$L$6:$L$353),"")</f>
        <v>0</v>
      </c>
      <c r="H19" s="130">
        <f>IFERROR(SUMPRODUCT((危旧房屋改造项目分表!$B$6:$B$353=$H$3)*(危旧房屋改造项目分表!$AD$6:AD$353="是")*(危旧房屋改造项目分表!$O$6:$O$353="维修加固")*(危旧房屋改造项目分表!$V$6:$V$353&gt;=90%)*危旧房屋改造项目分表!$L$6:$L$353),"")</f>
        <v>0</v>
      </c>
      <c r="I19" s="130">
        <f>IFERROR(SUMPRODUCT((危旧房屋改造项目分表!$B$6:$B$353=$I$3)*(危旧房屋改造项目分表!$AD$6:AD$353="是")*(危旧房屋改造项目分表!$O$6:$O$353="维修加固")*(危旧房屋改造项目分表!$V$6:$V$353&gt;=90%)*危旧房屋改造项目分表!$L$6:$L$353),"")</f>
        <v>0</v>
      </c>
      <c r="J19" s="130">
        <f>IFERROR(SUMPRODUCT((危旧房屋改造项目分表!$B$6:$B$353=$J$3)*(危旧房屋改造项目分表!$AD$6:AD$353="是")*(危旧房屋改造项目分表!$O$6:$O$353="维修加固")*(危旧房屋改造项目分表!$V$6:$V$353&gt;=90%)*危旧房屋改造项目分表!$L$6:$L$353),"")</f>
        <v>0</v>
      </c>
      <c r="K19" s="130">
        <f>IFERROR(SUMPRODUCT((危旧房屋改造项目分表!$B$6:$B$353=$K$3)*(危旧房屋改造项目分表!$AD$6:AD$353="是")*(危旧房屋改造项目分表!$O$6:$O$353="维修加固")*(危旧房屋改造项目分表!$V$6:$V$353&gt;=90%)*危旧房屋改造项目分表!$L$6:$L$353),"")</f>
        <v>0</v>
      </c>
      <c r="L19" s="130">
        <f>IFERROR(SUMPRODUCT((危旧房屋改造项目分表!$B$6:$B$353=$L$3)*(危旧房屋改造项目分表!$AD$6:AD$353="是")*(危旧房屋改造项目分表!$O$6:$O$353="维修加固")*(危旧房屋改造项目分表!$V$6:$V$353&gt;=90%)*危旧房屋改造项目分表!$L$6:$L$353),"")</f>
        <v>0</v>
      </c>
      <c r="M19" s="130">
        <f>SUM($D$19:$L$19)</f>
        <v>0</v>
      </c>
      <c r="N19" s="149" t="str">
        <f>IF(ISERROR(M19/$M$22),"",M19/$M$22)</f>
        <v/>
      </c>
    </row>
    <row r="20" ht="14.85" customHeight="1" spans="1:14">
      <c r="A20" s="137"/>
      <c r="B20" s="140" t="s">
        <v>26</v>
      </c>
      <c r="C20" s="129" t="s">
        <v>17</v>
      </c>
      <c r="D20" s="141">
        <f>$D$11+$D$14+$D$17+$D$8</f>
        <v>0</v>
      </c>
      <c r="E20" s="141">
        <f>$E$11+$E$14+$E$17+$E$8</f>
        <v>0</v>
      </c>
      <c r="F20" s="141">
        <f>$F$11+$F$14+$F$17+$F$8</f>
        <v>0</v>
      </c>
      <c r="G20" s="141">
        <f>$G$11+$G$14+$G$17+$G$8</f>
        <v>0</v>
      </c>
      <c r="H20" s="141">
        <f>$H$11+$H$14+$H$17+$H$8</f>
        <v>0</v>
      </c>
      <c r="I20" s="141">
        <f>$I$11+$I$14+$I$17+$I$8</f>
        <v>0</v>
      </c>
      <c r="J20" s="141">
        <f>$J$11+$J$14+$J$17+$J$8</f>
        <v>0</v>
      </c>
      <c r="K20" s="141">
        <f>$K$11+$K$14+$K$17+$K$8</f>
        <v>0</v>
      </c>
      <c r="L20" s="141">
        <f>$L$11+$L$14+$L$17+$L$8</f>
        <v>0</v>
      </c>
      <c r="M20" s="130">
        <f>SUM($D$20:$L$20)</f>
        <v>0</v>
      </c>
      <c r="N20" s="149" t="str">
        <f>IF(ISERROR(M20/$M$4),"",M20/$M$4)</f>
        <v/>
      </c>
    </row>
    <row r="21" ht="14.85" customHeight="1" spans="1:14">
      <c r="A21" s="137"/>
      <c r="B21" s="140"/>
      <c r="C21" s="129" t="s">
        <v>18</v>
      </c>
      <c r="D21" s="141">
        <f t="shared" ref="D21:L21" si="0">D12+D15+D18+D9</f>
        <v>0</v>
      </c>
      <c r="E21" s="141">
        <f t="shared" si="0"/>
        <v>0</v>
      </c>
      <c r="F21" s="141">
        <f t="shared" si="0"/>
        <v>0</v>
      </c>
      <c r="G21" s="141">
        <f t="shared" si="0"/>
        <v>0</v>
      </c>
      <c r="H21" s="141">
        <f t="shared" si="0"/>
        <v>0</v>
      </c>
      <c r="I21" s="141">
        <f t="shared" si="0"/>
        <v>0</v>
      </c>
      <c r="J21" s="141">
        <f t="shared" si="0"/>
        <v>0</v>
      </c>
      <c r="K21" s="141">
        <f t="shared" si="0"/>
        <v>0</v>
      </c>
      <c r="L21" s="141">
        <f t="shared" si="0"/>
        <v>0</v>
      </c>
      <c r="M21" s="130">
        <f>SUM($D$21:$L$21)</f>
        <v>0</v>
      </c>
      <c r="N21" s="149" t="str">
        <f>IF(ISERROR(M21/$M$5),"",M21/$M$5)</f>
        <v/>
      </c>
    </row>
    <row r="22" ht="14.85" customHeight="1" spans="1:14">
      <c r="A22" s="142"/>
      <c r="B22" s="140"/>
      <c r="C22" s="129" t="s">
        <v>19</v>
      </c>
      <c r="D22" s="143">
        <f t="shared" ref="D22:L22" si="1">D13+D16+D19+D10</f>
        <v>0</v>
      </c>
      <c r="E22" s="143">
        <f t="shared" si="1"/>
        <v>0</v>
      </c>
      <c r="F22" s="143">
        <f t="shared" si="1"/>
        <v>0</v>
      </c>
      <c r="G22" s="143">
        <f t="shared" si="1"/>
        <v>0</v>
      </c>
      <c r="H22" s="143">
        <f t="shared" si="1"/>
        <v>0</v>
      </c>
      <c r="I22" s="143">
        <f t="shared" si="1"/>
        <v>0</v>
      </c>
      <c r="J22" s="143">
        <f t="shared" si="1"/>
        <v>0</v>
      </c>
      <c r="K22" s="143">
        <f t="shared" si="1"/>
        <v>0</v>
      </c>
      <c r="L22" s="143">
        <f t="shared" si="1"/>
        <v>0</v>
      </c>
      <c r="M22" s="130">
        <f>SUM($D$22:$L$22)</f>
        <v>0</v>
      </c>
      <c r="N22" s="149" t="str">
        <f>IF(ISERROR(M22/$M$6),"",M22/$M$6)</f>
        <v/>
      </c>
    </row>
    <row r="23" ht="14.85" customHeight="1" spans="1:14">
      <c r="A23" s="135" t="s">
        <v>27</v>
      </c>
      <c r="B23" s="140" t="s">
        <v>22</v>
      </c>
      <c r="C23" s="129" t="s">
        <v>17</v>
      </c>
      <c r="D23" s="130">
        <f>IFERROR(SUMPRODUCT((危旧房屋改造项目分表!$B$6:$B$353=$D$3)*(危旧房屋改造项目分表!$AD$6:AD$353="是")*(危旧房屋改造项目分表!$O$6:$O$353="原址重建")*(危旧房屋改造项目分表!$V$6:$V$353&lt;=10%)*危旧房屋改造项目分表!$AF$6:$AF$353),"")</f>
        <v>0</v>
      </c>
      <c r="E23" s="130">
        <f>IFERROR(SUMPRODUCT((危旧房屋改造项目分表!$B$6:$B$353=$E$3)*(危旧房屋改造项目分表!$AD$6:AD$353="是")*(危旧房屋改造项目分表!$O$6:$O$353="原址重建")*(危旧房屋改造项目分表!$V$6:$V$353&lt;=10%)*危旧房屋改造项目分表!$AF$6:$AF$353),"")</f>
        <v>0</v>
      </c>
      <c r="F23" s="130">
        <f>IFERROR(SUMPRODUCT((危旧房屋改造项目分表!$B$6:$B$353=$F$3)*(危旧房屋改造项目分表!$AD$6:AD$353="是")*(危旧房屋改造项目分表!$O$6:$O$353="原址重建")*(危旧房屋改造项目分表!$V$6:$V$353&lt;=10%)*危旧房屋改造项目分表!$AF$6:$AF$353),"")</f>
        <v>0</v>
      </c>
      <c r="G23" s="130">
        <f>IFERROR(SUMPRODUCT((危旧房屋改造项目分表!$B$6:$B$353=$G$3)*(危旧房屋改造项目分表!$AD$6:AD$353="是")*(危旧房屋改造项目分表!$O$6:$O$353="原址重建")*(危旧房屋改造项目分表!$V$6:$V$353&lt;=10%)*危旧房屋改造项目分表!$AF$6:$AF$353),"")</f>
        <v>0</v>
      </c>
      <c r="H23" s="130">
        <f>IFERROR(SUMPRODUCT((危旧房屋改造项目分表!$B$6:$B$353=$H$3)*(危旧房屋改造项目分表!$AD$6:AD$353="是")*(危旧房屋改造项目分表!$O$6:$O$353="原址重建")*(危旧房屋改造项目分表!$V$6:$V$353&lt;=10%)*危旧房屋改造项目分表!$AF$6:$AF$353),"")</f>
        <v>0</v>
      </c>
      <c r="I23" s="130">
        <f>IFERROR(SUMPRODUCT((危旧房屋改造项目分表!$B$6:$B$353=$I$3)*(危旧房屋改造项目分表!$AD$6:AD$353="是")*(危旧房屋改造项目分表!$O$6:$O$353="原址重建")*(危旧房屋改造项目分表!$V$6:$V$353&lt;=10%)*危旧房屋改造项目分表!$AF$6:$AF$353),"")</f>
        <v>0</v>
      </c>
      <c r="J23" s="130">
        <f>IFERROR(SUMPRODUCT((危旧房屋改造项目分表!$B$6:$B$353=$J$3)*(危旧房屋改造项目分表!$AD$6:AD$353="是")*(危旧房屋改造项目分表!$O$6:$O$353="原址重建")*(危旧房屋改造项目分表!$V$6:$V$353&lt;=10%)*危旧房屋改造项目分表!$AF$6:$AF$353),"")</f>
        <v>0</v>
      </c>
      <c r="K23" s="130">
        <f>IFERROR(SUMPRODUCT((危旧房屋改造项目分表!$B$6:$B$353=$K$3)*(危旧房屋改造项目分表!$AD$6:AD$353="是")*(危旧房屋改造项目分表!$O$6:$O$353="原址重建")*(危旧房屋改造项目分表!$V$6:$V$353&lt;=10%)*危旧房屋改造项目分表!$AF$6:$AF$353),"")</f>
        <v>0</v>
      </c>
      <c r="L23" s="130">
        <f>IFERROR(SUMPRODUCT((危旧房屋改造项目分表!$B$6:$B$353=$L$3)*(危旧房屋改造项目分表!$AD$6:AD$353="是")*(危旧房屋改造项目分表!$O$6:$O$353="原址重建")*(危旧房屋改造项目分表!$V$6:$V$353&lt;=10%)*危旧房屋改造项目分表!$AF$6:$AF$353),"")</f>
        <v>0</v>
      </c>
      <c r="M23" s="130">
        <f>SUM($D$23:$L$23)</f>
        <v>0</v>
      </c>
      <c r="N23" s="149" t="str">
        <f>IF(ISERROR(M23/$M$35),"",M23/$M$35)</f>
        <v/>
      </c>
    </row>
    <row r="24" ht="14.85" customHeight="1" spans="1:14">
      <c r="A24" s="137"/>
      <c r="B24" s="140"/>
      <c r="C24" s="129" t="s">
        <v>18</v>
      </c>
      <c r="D24" s="130">
        <f>IFERROR(SUMPRODUCT((危旧房屋改造项目分表!$B$6:$B$353=$D$3)*(危旧房屋改造项目分表!$AD$6:AD$353="是")*(危旧房屋改造项目分表!$O$6:$O$353="原址重建")*(危旧房屋改造项目分表!$V$6:$V$353&lt;=10%)*危旧房屋改造项目分表!$K$6:$K$353),"")</f>
        <v>0</v>
      </c>
      <c r="E24" s="130">
        <f>IFERROR(SUMPRODUCT((危旧房屋改造项目分表!$B$6:$B$353=$E$3)*(危旧房屋改造项目分表!$AD$6:AD$353="是")*(危旧房屋改造项目分表!$O$6:$O$353="原址重建")*(危旧房屋改造项目分表!$V$6:$V$353&lt;=10%)*危旧房屋改造项目分表!$K$6:$K$353),"")</f>
        <v>0</v>
      </c>
      <c r="F24" s="130">
        <f>IFERROR(SUMPRODUCT((危旧房屋改造项目分表!$B$6:$B$353=$F$3)*(危旧房屋改造项目分表!$AD$6:AD$353="是")*(危旧房屋改造项目分表!$O$6:$O$353="原址重建")*(危旧房屋改造项目分表!$V$6:$V$353&lt;=10%)*危旧房屋改造项目分表!$K$6:$K$353),"")</f>
        <v>0</v>
      </c>
      <c r="G24" s="130">
        <f>IFERROR(SUMPRODUCT((危旧房屋改造项目分表!$B$6:$B$353=$G$3)*(危旧房屋改造项目分表!$AD$6:AD$353="是")*(危旧房屋改造项目分表!$O$6:$O$353="原址重建")*(危旧房屋改造项目分表!$V$6:$V$353&lt;=10%)*危旧房屋改造项目分表!$K$6:$K$353),"")</f>
        <v>0</v>
      </c>
      <c r="H24" s="130">
        <f>IFERROR(SUMPRODUCT((危旧房屋改造项目分表!$B$6:$B$353=$H$3)*(危旧房屋改造项目分表!$AD$6:AD$353="是")*(危旧房屋改造项目分表!$O$6:$O$353="原址重建")*(危旧房屋改造项目分表!$V$6:$V$353&lt;=10%)*危旧房屋改造项目分表!$K$6:$K$353),"")</f>
        <v>0</v>
      </c>
      <c r="I24" s="130">
        <f>IFERROR(SUMPRODUCT((危旧房屋改造项目分表!$B$6:$B$353=$I$3)*(危旧房屋改造项目分表!$AD$6:AD$353="是")*(危旧房屋改造项目分表!$O$6:$O$353="原址重建")*(危旧房屋改造项目分表!$V$6:$V$353&lt;=10%)*危旧房屋改造项目分表!$K$6:$K$353),"")</f>
        <v>0</v>
      </c>
      <c r="J24" s="130">
        <f>IFERROR(SUMPRODUCT((危旧房屋改造项目分表!$B$6:$B$353=$J$3)*(危旧房屋改造项目分表!$AD$6:AD$353="是")*(危旧房屋改造项目分表!$O$6:$O$353="原址重建")*(危旧房屋改造项目分表!$V$6:$V$353&lt;=10%)*危旧房屋改造项目分表!$K$6:$K$353),"")</f>
        <v>0</v>
      </c>
      <c r="K24" s="130">
        <f>IFERROR(SUMPRODUCT((危旧房屋改造项目分表!$B$6:$B$353=$K$3)*(危旧房屋改造项目分表!$AD$6:AD$353="是")*(危旧房屋改造项目分表!$O$6:$O$353="原址重建")*(危旧房屋改造项目分表!$V$6:$V$353&lt;=10%)*危旧房屋改造项目分表!$K$6:$K$353),"")</f>
        <v>0</v>
      </c>
      <c r="L24" s="130">
        <f>IFERROR(SUMPRODUCT((危旧房屋改造项目分表!$B$6:$B$353=$L$3)*(危旧房屋改造项目分表!$AD$6:AD$353="是")*(危旧房屋改造项目分表!$O$6:$O$353="原址重建")*(危旧房屋改造项目分表!$V$6:$V$353&lt;=10%)*危旧房屋改造项目分表!$K$6:$K$353),"")</f>
        <v>0</v>
      </c>
      <c r="M24" s="130">
        <f>SUM($D$24:$L$24)</f>
        <v>0</v>
      </c>
      <c r="N24" s="149" t="str">
        <f>IF(ISERROR(M24/$M$36),"",M24/$M$36)</f>
        <v/>
      </c>
    </row>
    <row r="25" ht="14.85" customHeight="1" spans="1:14">
      <c r="A25" s="137"/>
      <c r="B25" s="140"/>
      <c r="C25" s="129" t="s">
        <v>19</v>
      </c>
      <c r="D25" s="130">
        <f>IFERROR(SUMPRODUCT((危旧房屋改造项目分表!$B$6:$B$353=$D$3)*(危旧房屋改造项目分表!$AD$6:AD$353="是")*(危旧房屋改造项目分表!$O$6:$O$353="原址重建")*(危旧房屋改造项目分表!$V$6:$V$353&lt;=10%)*危旧房屋改造项目分表!$L$6:$L$353),"")</f>
        <v>0</v>
      </c>
      <c r="E25" s="130">
        <f>IFERROR(SUMPRODUCT((危旧房屋改造项目分表!$B$6:$B$353=$E$3)*(危旧房屋改造项目分表!$AD$6:AD$353="是")*(危旧房屋改造项目分表!$O$6:$O$353="原址重建")*(危旧房屋改造项目分表!$V$6:$V$353&lt;=10%)*危旧房屋改造项目分表!$L$6:$L$353),"")</f>
        <v>0</v>
      </c>
      <c r="F25" s="130">
        <f>IFERROR(SUMPRODUCT((危旧房屋改造项目分表!$B$6:$B$353=$F$3)*(危旧房屋改造项目分表!$AD$6:AD$353="是")*(危旧房屋改造项目分表!$O$6:$O$353="原址重建")*(危旧房屋改造项目分表!$V$6:$V$353&lt;=10%)*危旧房屋改造项目分表!$L$6:$L$353),"")</f>
        <v>0</v>
      </c>
      <c r="G25" s="130">
        <f>IFERROR(SUMPRODUCT((危旧房屋改造项目分表!$B$6:$B$353=$G$3)*(危旧房屋改造项目分表!$AD$6:AD$353="是")*(危旧房屋改造项目分表!$O$6:$O$353="原址重建")*(危旧房屋改造项目分表!$V$6:$V$353&lt;=10%)*危旧房屋改造项目分表!$L$6:$L$353),"")</f>
        <v>0</v>
      </c>
      <c r="H25" s="130">
        <f>IFERROR(SUMPRODUCT((危旧房屋改造项目分表!$B$6:$B$353=$H$3)*(危旧房屋改造项目分表!$AD$6:AD$353="是")*(危旧房屋改造项目分表!$O$6:$O$353="原址重建")*(危旧房屋改造项目分表!$V$6:$V$353&lt;=10%)*危旧房屋改造项目分表!$L$6:$L$353),"")</f>
        <v>0</v>
      </c>
      <c r="I25" s="130">
        <f>IFERROR(SUMPRODUCT((危旧房屋改造项目分表!$B$6:$B$353=$I$3)*(危旧房屋改造项目分表!$AD$6:AD$353="是")*(危旧房屋改造项目分表!$O$6:$O$353="原址重建")*(危旧房屋改造项目分表!$V$6:$V$353&lt;=10%)*危旧房屋改造项目分表!$L$6:$L$353),"")</f>
        <v>0</v>
      </c>
      <c r="J25" s="130">
        <f>IFERROR(SUMPRODUCT((危旧房屋改造项目分表!$B$6:$B$353=$J$3)*(危旧房屋改造项目分表!$AD$6:AD$353="是")*(危旧房屋改造项目分表!$O$6:$O$353="原址重建")*(危旧房屋改造项目分表!$V$6:$V$353&lt;=10%)*危旧房屋改造项目分表!$L$6:$L$353),"")</f>
        <v>0</v>
      </c>
      <c r="K25" s="130">
        <f>IFERROR(SUMPRODUCT((危旧房屋改造项目分表!$B$6:$B$353=$K$3)*(危旧房屋改造项目分表!$AD$6:AD$353="是")*(危旧房屋改造项目分表!$O$6:$O$353="原址重建")*(危旧房屋改造项目分表!$V$6:$V$353&lt;=10%)*危旧房屋改造项目分表!$L$6:$L$353),"")</f>
        <v>0</v>
      </c>
      <c r="L25" s="130">
        <f>IFERROR(SUMPRODUCT((危旧房屋改造项目分表!$B$6:$B$353=$L$3)*(危旧房屋改造项目分表!$AD$6:AD$353="是")*(危旧房屋改造项目分表!$O$6:$O$353="原址重建")*(危旧房屋改造项目分表!$V$6:$V$353&lt;=10%)*危旧房屋改造项目分表!$L$6:$L$353),"")</f>
        <v>0</v>
      </c>
      <c r="M25" s="130">
        <f>SUM($D$25:$L$25)</f>
        <v>0</v>
      </c>
      <c r="N25" s="149" t="str">
        <f>IF(ISERROR(M25/$M$37),"",M25/$M$37)</f>
        <v/>
      </c>
    </row>
    <row r="26" ht="14.85" customHeight="1" spans="1:14">
      <c r="A26" s="137"/>
      <c r="B26" s="140" t="s">
        <v>23</v>
      </c>
      <c r="C26" s="129" t="s">
        <v>17</v>
      </c>
      <c r="D26" s="130">
        <f>IFERROR(SUMPRODUCT((危旧房屋改造项目分表!$B$6:$B$353=$D$3)*(危旧房屋改造项目分表!$AD$6:AD$353="是")*(危旧房屋改造项目分表!$O$6:$O$353="原址重建")*(危旧房屋改造项目分表!$V$6:$V$353&gt;=11%)*(危旧房屋改造项目分表!$V$6:$V$353&lt;=30%)*危旧房屋改造项目分表!$AF$6:$AF$353),"")</f>
        <v>0</v>
      </c>
      <c r="E26" s="130">
        <f>IFERROR(SUMPRODUCT((危旧房屋改造项目分表!$B$6:$B$353=$E$3)*(危旧房屋改造项目分表!$AD$6:AD$353="是")*(危旧房屋改造项目分表!$O$6:$O$353="原址重建")*(危旧房屋改造项目分表!$V$6:$V$353&gt;=11%)*(危旧房屋改造项目分表!$V$6:$V$353&lt;=30%)*危旧房屋改造项目分表!$AF$6:$AF$353),"")</f>
        <v>0</v>
      </c>
      <c r="F26" s="130">
        <f>IFERROR(SUMPRODUCT((危旧房屋改造项目分表!$B$6:$B$353=$F$3)*(危旧房屋改造项目分表!$AD$6:AD$353="是")*(危旧房屋改造项目分表!$O$6:$O$353="原址重建")*(危旧房屋改造项目分表!$V$6:$V$353&gt;=11%)*(危旧房屋改造项目分表!$V$6:$V$353&lt;=30%)*危旧房屋改造项目分表!$AF$6:$AF$353),"")</f>
        <v>0</v>
      </c>
      <c r="G26" s="130">
        <f>IFERROR(SUMPRODUCT((危旧房屋改造项目分表!$B$6:$B$353=$G$3)*(危旧房屋改造项目分表!$AD$6:AD$353="是")*(危旧房屋改造项目分表!$O$6:$O$353="原址重建")*(危旧房屋改造项目分表!$V$6:$V$353&gt;=11%)*(危旧房屋改造项目分表!$V$6:$V$353&lt;=30%)*危旧房屋改造项目分表!$AF$6:$AF$353),"")</f>
        <v>0</v>
      </c>
      <c r="H26" s="130">
        <f>IFERROR(SUMPRODUCT((危旧房屋改造项目分表!$B$6:$B$353=$H$3)*(危旧房屋改造项目分表!$AD$6:AD$353="是")*(危旧房屋改造项目分表!$O$6:$O$353="原址重建")*(危旧房屋改造项目分表!$V$6:$V$353&gt;=11%)*(危旧房屋改造项目分表!$V$6:$V$353&lt;=30%)*危旧房屋改造项目分表!$AF$6:$AF$353),"")</f>
        <v>0</v>
      </c>
      <c r="I26" s="130">
        <f>IFERROR(SUMPRODUCT((危旧房屋改造项目分表!$B$6:$B$353=$I$3)*(危旧房屋改造项目分表!$AD$6:AD$353="是")*(危旧房屋改造项目分表!$O$6:$O$353="原址重建")*(危旧房屋改造项目分表!$V$6:$V$353&gt;=11%)*(危旧房屋改造项目分表!$V$6:$V$353&lt;=30%)*危旧房屋改造项目分表!$AF$6:$AF$353),"")</f>
        <v>0</v>
      </c>
      <c r="J26" s="130">
        <f>IFERROR(SUMPRODUCT((危旧房屋改造项目分表!$B$6:$B$353=$J$3)*(危旧房屋改造项目分表!$AD$6:AD$353="是")*(危旧房屋改造项目分表!$O$6:$O$353="原址重建")*(危旧房屋改造项目分表!$V$6:$V$353&gt;=11%)*(危旧房屋改造项目分表!$V$6:$V$353&lt;=30%)*危旧房屋改造项目分表!$AF$6:$AF$353),"")</f>
        <v>0</v>
      </c>
      <c r="K26" s="130">
        <f>IFERROR(SUMPRODUCT((危旧房屋改造项目分表!$B$6:$B$353=$K$3)*(危旧房屋改造项目分表!$AD$6:AD$353="是")*(危旧房屋改造项目分表!$O$6:$O$353="原址重建")*(危旧房屋改造项目分表!$V$6:$V$353&gt;=11%)*(危旧房屋改造项目分表!$V$6:$V$353&lt;=30%)*危旧房屋改造项目分表!$AF$6:$AF$353),"")</f>
        <v>0</v>
      </c>
      <c r="L26" s="130">
        <f>IFERROR(SUMPRODUCT((危旧房屋改造项目分表!$B$6:$B$353=$L$3)*(危旧房屋改造项目分表!$AD$6:AD$353="是")*(危旧房屋改造项目分表!$O$6:$O$353="原址重建")*(危旧房屋改造项目分表!$V$6:$V$353&gt;=11%)*(危旧房屋改造项目分表!$V$6:$V$353&lt;=30%)*危旧房屋改造项目分表!$AF$6:$AF$353),"")</f>
        <v>0</v>
      </c>
      <c r="M26" s="130">
        <f>SUM($D$26:$L$26)</f>
        <v>0</v>
      </c>
      <c r="N26" s="149" t="str">
        <f>IF(ISERROR(M26/$M$35),"",M26/$M$35)</f>
        <v/>
      </c>
    </row>
    <row r="27" ht="14.85" customHeight="1" spans="1:14">
      <c r="A27" s="137"/>
      <c r="B27" s="140"/>
      <c r="C27" s="129" t="s">
        <v>18</v>
      </c>
      <c r="D27" s="130">
        <f>IFERROR(SUMPRODUCT((危旧房屋改造项目分表!$B$6:$B$353=$D$3)*(危旧房屋改造项目分表!$AD$6:AD$353="是")*(危旧房屋改造项目分表!$O$6:$O$353="原址重建")*(危旧房屋改造项目分表!$V$6:$V$353&gt;=11%)*(危旧房屋改造项目分表!$V$6:$V$353&lt;=30%)*危旧房屋改造项目分表!$K$6:$K$353),"")</f>
        <v>0</v>
      </c>
      <c r="E27" s="130">
        <f>IFERROR(SUMPRODUCT((危旧房屋改造项目分表!$B$6:$B$353=$E$3)*(危旧房屋改造项目分表!$AD$6:AD$353="是")*(危旧房屋改造项目分表!$O$6:$O$353="原址重建")*(危旧房屋改造项目分表!$V$6:$V$353&gt;=11%)*(危旧房屋改造项目分表!$V$6:$V$353&lt;=30%)*危旧房屋改造项目分表!$K$6:$K$353),"")</f>
        <v>0</v>
      </c>
      <c r="F27" s="130">
        <f>IFERROR(SUMPRODUCT((危旧房屋改造项目分表!$B$6:$B$353=$F$3)*(危旧房屋改造项目分表!$AD$6:AD$353="是")*(危旧房屋改造项目分表!$O$6:$O$353="原址重建")*(危旧房屋改造项目分表!$V$6:$V$353&gt;=11%)*(危旧房屋改造项目分表!$V$6:$V$353&lt;=30%)*危旧房屋改造项目分表!$K$6:$K$353),"")</f>
        <v>0</v>
      </c>
      <c r="G27" s="130">
        <f>IFERROR(SUMPRODUCT((危旧房屋改造项目分表!$B$6:$B$353=$G$3)*(危旧房屋改造项目分表!$AD$6:AD$353="是")*(危旧房屋改造项目分表!$O$6:$O$353="原址重建")*(危旧房屋改造项目分表!$V$6:$V$353&gt;=11%)*(危旧房屋改造项目分表!$V$6:$V$353&lt;=30%)*危旧房屋改造项目分表!$K$6:$K$353),"")</f>
        <v>0</v>
      </c>
      <c r="H27" s="130">
        <f>IFERROR(SUMPRODUCT((危旧房屋改造项目分表!$B$6:$B$353=$H$3)*(危旧房屋改造项目分表!$AD$6:AD$353="是")*(危旧房屋改造项目分表!$O$6:$O$353="原址重建")*(危旧房屋改造项目分表!$V$6:$V$353&gt;=11%)*(危旧房屋改造项目分表!$V$6:$V$353&lt;=30%)*危旧房屋改造项目分表!$K$6:$K$353),"")</f>
        <v>0</v>
      </c>
      <c r="I27" s="130">
        <f>IFERROR(SUMPRODUCT((危旧房屋改造项目分表!$B$6:$B$353=$I$3)*(危旧房屋改造项目分表!$AD$6:AD$353="是")*(危旧房屋改造项目分表!$O$6:$O$353="原址重建")*(危旧房屋改造项目分表!$V$6:$V$353&gt;=11%)*(危旧房屋改造项目分表!$V$6:$V$353&lt;=30%)*危旧房屋改造项目分表!$K$6:$K$353),"")</f>
        <v>0</v>
      </c>
      <c r="J27" s="130">
        <f>IFERROR(SUMPRODUCT((危旧房屋改造项目分表!$B$6:$B$353=$J$3)*(危旧房屋改造项目分表!$AD$6:AD$353="是")*(危旧房屋改造项目分表!$O$6:$O$353="原址重建")*(危旧房屋改造项目分表!$V$6:$V$353&gt;=11%)*(危旧房屋改造项目分表!$V$6:$V$353&lt;=30%)*危旧房屋改造项目分表!$K$6:$K$353),"")</f>
        <v>0</v>
      </c>
      <c r="K27" s="130">
        <f>IFERROR(SUMPRODUCT((危旧房屋改造项目分表!$B$6:$B$353=$K$3)*(危旧房屋改造项目分表!$AD$6:AD$353="是")*(危旧房屋改造项目分表!$O$6:$O$353="原址重建")*(危旧房屋改造项目分表!$V$6:$V$353&gt;=11%)*(危旧房屋改造项目分表!$V$6:$V$353&lt;=30%)*危旧房屋改造项目分表!$K$6:$K$353),"")</f>
        <v>0</v>
      </c>
      <c r="L27" s="130">
        <f>IFERROR(SUMPRODUCT((危旧房屋改造项目分表!$B$6:$B$353=$L$3)*(危旧房屋改造项目分表!$AD$6:AD$353="是")*(危旧房屋改造项目分表!$O$6:$O$353="原址重建")*(危旧房屋改造项目分表!$V$6:$V$353&gt;=11%)*(危旧房屋改造项目分表!$V$6:$V$353&lt;=30%)*危旧房屋改造项目分表!$K$6:$K$353),"")</f>
        <v>0</v>
      </c>
      <c r="M27" s="130">
        <f>SUM($D$27:$L$27)</f>
        <v>0</v>
      </c>
      <c r="N27" s="149" t="str">
        <f>IF(ISERROR(M27/$M$36),"",M27/$M$36)</f>
        <v/>
      </c>
    </row>
    <row r="28" ht="14.85" customHeight="1" spans="1:14">
      <c r="A28" s="137"/>
      <c r="B28" s="140"/>
      <c r="C28" s="129" t="s">
        <v>19</v>
      </c>
      <c r="D28" s="130">
        <f>IFERROR(SUMPRODUCT((危旧房屋改造项目分表!$B$6:$B$353=$D$3)*(危旧房屋改造项目分表!$AD$6:AD$353="是")*(危旧房屋改造项目分表!$O$6:$O$353="原址重建")*(危旧房屋改造项目分表!$V$6:$V$353&gt;=11%)*(危旧房屋改造项目分表!$V$6:$V$353&lt;=30%)*危旧房屋改造项目分表!$L$6:$L$353),"")</f>
        <v>0</v>
      </c>
      <c r="E28" s="130">
        <f>IFERROR(SUMPRODUCT((危旧房屋改造项目分表!$B$6:$B$353=$E$3)*(危旧房屋改造项目分表!$AD$6:AD$353="是")*(危旧房屋改造项目分表!$O$6:$O$353="原址重建")*(危旧房屋改造项目分表!$V$6:$V$353&gt;=11%)*(危旧房屋改造项目分表!$V$6:$V$353&lt;=30%)*危旧房屋改造项目分表!$L$6:$L$353),"")</f>
        <v>0</v>
      </c>
      <c r="F28" s="130">
        <f>IFERROR(SUMPRODUCT((危旧房屋改造项目分表!$B$6:$B$353=$F$3)*(危旧房屋改造项目分表!$AD$6:AD$353="是")*(危旧房屋改造项目分表!$O$6:$O$353="原址重建")*(危旧房屋改造项目分表!$V$6:$V$353&gt;=11%)*(危旧房屋改造项目分表!$V$6:$V$353&lt;=30%)*危旧房屋改造项目分表!$L$6:$L$353),"")</f>
        <v>0</v>
      </c>
      <c r="G28" s="130">
        <f>IFERROR(SUMPRODUCT((危旧房屋改造项目分表!$B$6:$B$353=$G$3)*(危旧房屋改造项目分表!$AD$6:AE$353="是")*(危旧房屋改造项目分表!$O$6:$O$353="原址重建")*(危旧房屋改造项目分表!$V$6:$V$353&gt;=11%)*(危旧房屋改造项目分表!$V$6:$V$353&lt;=30%)*危旧房屋改造项目分表!$L$6:$L$353),"")</f>
        <v>0</v>
      </c>
      <c r="H28" s="130">
        <f>IFERROR(SUMPRODUCT((危旧房屋改造项目分表!$B$6:$B$353=$H$3)*(危旧房屋改造项目分表!$AD$6:AD$353="是")*(危旧房屋改造项目分表!$O$6:$O$353="原址重建")*(危旧房屋改造项目分表!$V$6:$V$353&gt;=11%)*(危旧房屋改造项目分表!$V$6:$V$353&lt;=30%)*危旧房屋改造项目分表!$L$6:$L$353),"")</f>
        <v>0</v>
      </c>
      <c r="I28" s="130">
        <f>IFERROR(SUMPRODUCT((危旧房屋改造项目分表!$B$6:$B$353=$I$3)*(危旧房屋改造项目分表!$AD$6:AD$353="是")*(危旧房屋改造项目分表!$O$6:$O$353="原址重建")*(危旧房屋改造项目分表!$V$6:$V$353&gt;=11%)*(危旧房屋改造项目分表!$V$6:$V$353&lt;=30%)*危旧房屋改造项目分表!$L$6:$L$353),"")</f>
        <v>0</v>
      </c>
      <c r="J28" s="130">
        <f>IFERROR(SUMPRODUCT((危旧房屋改造项目分表!$B$6:$B$353=$J$3)*(危旧房屋改造项目分表!$AD$6:AD$353="是")*(危旧房屋改造项目分表!$O$6:$O$353="原址重建")*(危旧房屋改造项目分表!$V$6:$V$353&gt;=11%)*(危旧房屋改造项目分表!$V$6:$V$353&lt;=30%)*危旧房屋改造项目分表!$L$6:$L$353),"")</f>
        <v>0</v>
      </c>
      <c r="K28" s="130">
        <f>IFERROR(SUMPRODUCT((危旧房屋改造项目分表!$B$6:$B$353=$K$3)*(危旧房屋改造项目分表!$AD$6:AD$353="是")*(危旧房屋改造项目分表!$O$6:$O$353="原址重建")*(危旧房屋改造项目分表!$V$6:$V$353&gt;=11%)*(危旧房屋改造项目分表!$V$6:$V$353&lt;=30%)*危旧房屋改造项目分表!$L$6:$L$353),"")</f>
        <v>0</v>
      </c>
      <c r="L28" s="130">
        <f>IFERROR(SUMPRODUCT((危旧房屋改造项目分表!$B$6:$B$353=$L$3)*(危旧房屋改造项目分表!$AD$6:AD$353="是")*(危旧房屋改造项目分表!$O$6:$O$353="原址重建")*(危旧房屋改造项目分表!$V$6:$V$353&gt;=11%)*(危旧房屋改造项目分表!$V$6:$V$353&lt;=30%)*危旧房屋改造项目分表!$L$6:$L$353),"")</f>
        <v>0</v>
      </c>
      <c r="M28" s="130">
        <f>SUM($D$28:$L$28)</f>
        <v>0</v>
      </c>
      <c r="N28" s="149" t="str">
        <f>IF(ISERROR(M28/$M$37),"",M28/$M$37)</f>
        <v/>
      </c>
    </row>
    <row r="29" ht="14.85" customHeight="1" spans="1:14">
      <c r="A29" s="137"/>
      <c r="B29" s="140" t="s">
        <v>24</v>
      </c>
      <c r="C29" s="129" t="s">
        <v>17</v>
      </c>
      <c r="D29" s="130">
        <f>IFERROR(SUMPRODUCT((危旧房屋改造项目分表!$B$6:$B$353=$D$3)*(危旧房屋改造项目分表!$AD$6:AD$353="是")*(危旧房屋改造项目分表!$O$6:$O$353="原址重建")*(危旧房屋改造项目分表!$V$6:$V$353&gt;=31%)*(危旧房屋改造项目分表!$V$6:$V$353&lt;=89%)*危旧房屋改造项目分表!$AF$6:$AF$353),"")</f>
        <v>0</v>
      </c>
      <c r="E29" s="130">
        <f>IFERROR(SUMPRODUCT((危旧房屋改造项目分表!$B$6:$B$353=$E$3)*(危旧房屋改造项目分表!$AD$6:AD$353="是")*(危旧房屋改造项目分表!$O$6:$O$353="原址重建")*(危旧房屋改造项目分表!$V$6:$V$353&gt;=31%)*(危旧房屋改造项目分表!$V$6:$V$353&lt;=89%)*危旧房屋改造项目分表!$AF$6:$AF$353),"")</f>
        <v>0</v>
      </c>
      <c r="F29" s="130">
        <f>IFERROR(SUMPRODUCT((危旧房屋改造项目分表!$B$6:$B$353=$F$3)*(危旧房屋改造项目分表!$AD$6:AD$353="是")*(危旧房屋改造项目分表!$O$6:$O$353="原址重建")*(危旧房屋改造项目分表!$V$6:$V$353&gt;=31%)*(危旧房屋改造项目分表!$V$6:$V$353&lt;=89%)*危旧房屋改造项目分表!$AF$6:$AF$353),"")</f>
        <v>0</v>
      </c>
      <c r="G29" s="130">
        <f>IFERROR(SUMPRODUCT((危旧房屋改造项目分表!$B$6:$B$353=$G$3)*(危旧房屋改造项目分表!$AD$6:AD$353="是")*(危旧房屋改造项目分表!$O$6:$O$353="原址重建")*(危旧房屋改造项目分表!$V$6:$V$353&gt;=31%)*(危旧房屋改造项目分表!$V$6:$V$353&lt;=89%)*危旧房屋改造项目分表!$AF$6:$AF$353),"")</f>
        <v>0</v>
      </c>
      <c r="H29" s="130">
        <f>IFERROR(SUMPRODUCT((危旧房屋改造项目分表!$B$6:$B$353=$H$3)*(危旧房屋改造项目分表!$AD$6:AD$353="是")*(危旧房屋改造项目分表!$O$6:$O$353="原址重建")*(危旧房屋改造项目分表!$V$6:$V$353&gt;=31%)*(危旧房屋改造项目分表!$V$6:$V$353&lt;=89%)*危旧房屋改造项目分表!$AF$6:$AF$353),"")</f>
        <v>0</v>
      </c>
      <c r="I29" s="130">
        <f>IFERROR(SUMPRODUCT((危旧房屋改造项目分表!$B$6:$B$353=$I$3)*(危旧房屋改造项目分表!$AD$6:AD$353="是")*(危旧房屋改造项目分表!$O$6:$O$353="原址重建")*(危旧房屋改造项目分表!$V$6:$V$353&gt;=31%)*(危旧房屋改造项目分表!$V$6:$V$353&lt;=89%)*危旧房屋改造项目分表!$AF$6:$AF$353),"")</f>
        <v>0</v>
      </c>
      <c r="J29" s="130">
        <f>IFERROR(SUMPRODUCT((危旧房屋改造项目分表!$B$6:$B$353=$J$3)*(危旧房屋改造项目分表!$AD$6:AD$353="是")*(危旧房屋改造项目分表!$O$6:$O$353="原址重建")*(危旧房屋改造项目分表!$V$6:$V$353&gt;=31%)*(危旧房屋改造项目分表!$V$6:$V$353&lt;=89%)*危旧房屋改造项目分表!$AF$6:$AF$353),"")</f>
        <v>0</v>
      </c>
      <c r="K29" s="130">
        <f>IFERROR(SUMPRODUCT((危旧房屋改造项目分表!$B$6:$B$353=$K$3)*(危旧房屋改造项目分表!$AD$6:AD$353="是")*(危旧房屋改造项目分表!$O$6:$O$353="原址重建")*(危旧房屋改造项目分表!$V$6:$V$353&gt;=31%)*(危旧房屋改造项目分表!$V$6:$V$353&lt;=89%)*危旧房屋改造项目分表!$AF$6:$AF$353),"")</f>
        <v>0</v>
      </c>
      <c r="L29" s="130">
        <f>IFERROR(SUMPRODUCT((危旧房屋改造项目分表!$B$6:$B$353=$L$3)*(危旧房屋改造项目分表!$AD$6:AD$353="是")*(危旧房屋改造项目分表!$O$6:$O$353="原址重建")*(危旧房屋改造项目分表!$V$6:$V$353&gt;=31%)*(危旧房屋改造项目分表!$V$6:$V$353&lt;=89%)*危旧房屋改造项目分表!$AF$6:$AF$353),"")</f>
        <v>0</v>
      </c>
      <c r="M29" s="130">
        <f>SUM($D$29:$L$29)</f>
        <v>0</v>
      </c>
      <c r="N29" s="149" t="str">
        <f>IF(ISERROR(M29/$M$35),"",M29/$M$35)</f>
        <v/>
      </c>
    </row>
    <row r="30" ht="14.85" customHeight="1" spans="1:14">
      <c r="A30" s="137"/>
      <c r="B30" s="140"/>
      <c r="C30" s="129" t="s">
        <v>18</v>
      </c>
      <c r="D30" s="130">
        <f>IFERROR(SUMPRODUCT((危旧房屋改造项目分表!$B$6:$B$353=$D$3)*(危旧房屋改造项目分表!$AD$6:AD$353="是")*(危旧房屋改造项目分表!$O$6:$O$353="原址重建")*(危旧房屋改造项目分表!$V$6:$V$353&gt;=31%)*(危旧房屋改造项目分表!$V$6:$V$353&lt;=89%)*危旧房屋改造项目分表!$K$6:$K$353),"")</f>
        <v>0</v>
      </c>
      <c r="E30" s="130">
        <f>IFERROR(SUMPRODUCT((危旧房屋改造项目分表!$B$6:$B$353=$E$3)*(危旧房屋改造项目分表!$AD$6:AD$353="是")*(危旧房屋改造项目分表!$O$6:$O$353="原址重建")*(危旧房屋改造项目分表!$V$6:$V$353&gt;=31%)*(危旧房屋改造项目分表!$V$6:$V$353&lt;=89%)*危旧房屋改造项目分表!$K$6:$K$353),"")</f>
        <v>0</v>
      </c>
      <c r="F30" s="130">
        <f>IFERROR(SUMPRODUCT((危旧房屋改造项目分表!$B$6:$B$353=$F$3)*(危旧房屋改造项目分表!$AD$6:AD$353="是")*(危旧房屋改造项目分表!$O$6:$O$353="原址重建")*(危旧房屋改造项目分表!$V$6:$V$353&gt;=31%)*(危旧房屋改造项目分表!$V$6:$V$353&lt;=89%)*危旧房屋改造项目分表!$K$6:$K$353),"")</f>
        <v>0</v>
      </c>
      <c r="G30" s="130">
        <f>IFERROR(SUMPRODUCT((危旧房屋改造项目分表!$B$6:$B$353=$G$3)*(危旧房屋改造项目分表!$AD$6:AD$353="是")*(危旧房屋改造项目分表!$O$6:$O$353="原址重建")*(危旧房屋改造项目分表!$V$6:$V$353&gt;=31%)*(危旧房屋改造项目分表!$V$6:$V$353&lt;=89%)*危旧房屋改造项目分表!$K$6:$K$353),"")</f>
        <v>0</v>
      </c>
      <c r="H30" s="130">
        <f>IFERROR(SUMPRODUCT((危旧房屋改造项目分表!$B$6:$B$353=$H$3)*(危旧房屋改造项目分表!$AD$6:AD$353="是")*(危旧房屋改造项目分表!$O$6:$O$353="原址重建")*(危旧房屋改造项目分表!$V$6:$V$353&gt;=31%)*(危旧房屋改造项目分表!$V$6:$V$353&lt;=89%)*危旧房屋改造项目分表!$K$6:$K$353),"")</f>
        <v>0</v>
      </c>
      <c r="I30" s="130">
        <f>IFERROR(SUMPRODUCT((危旧房屋改造项目分表!$B$6:$B$353=$I$3)*(危旧房屋改造项目分表!$AD$6:AD$353="是")*(危旧房屋改造项目分表!$O$6:$O$353="原址重建")*(危旧房屋改造项目分表!$V$6:$V$353&gt;=31%)*(危旧房屋改造项目分表!$V$6:$V$353&lt;=89%)*危旧房屋改造项目分表!$K$6:$K$353),"")</f>
        <v>0</v>
      </c>
      <c r="J30" s="130">
        <f>IFERROR(SUMPRODUCT((危旧房屋改造项目分表!$B$6:$B$353=$J$3)*(危旧房屋改造项目分表!$AD$6:AD$353="是")*(危旧房屋改造项目分表!$O$6:$O$353="原址重建")*(危旧房屋改造项目分表!$V$6:$V$353&gt;=31%)*(危旧房屋改造项目分表!$V$6:$V$353&lt;=89%)*危旧房屋改造项目分表!$K$6:$K$353),"")</f>
        <v>0</v>
      </c>
      <c r="K30" s="130">
        <f>IFERROR(SUMPRODUCT((危旧房屋改造项目分表!$B$6:$B$353=$K$3)*(危旧房屋改造项目分表!$AD$6:AD$353="是")*(危旧房屋改造项目分表!$O$6:$O$353="原址重建")*(危旧房屋改造项目分表!$V$6:$V$353&gt;=31%)*(危旧房屋改造项目分表!$V$6:$V$353&lt;=89%)*危旧房屋改造项目分表!$K$6:$K$353),"")</f>
        <v>0</v>
      </c>
      <c r="L30" s="130">
        <f>IFERROR(SUMPRODUCT((危旧房屋改造项目分表!$B$6:$B$353=$L$3)*(危旧房屋改造项目分表!$AD$6:AD$353="是")*(危旧房屋改造项目分表!$O$6:$O$353="原址重建")*(危旧房屋改造项目分表!$V$6:$V$353&gt;=31%)*(危旧房屋改造项目分表!$V$6:$V$353&lt;=89%)*危旧房屋改造项目分表!$K$6:$K$353),"")</f>
        <v>0</v>
      </c>
      <c r="M30" s="130">
        <f>SUM($D$30:$L$30)</f>
        <v>0</v>
      </c>
      <c r="N30" s="149" t="str">
        <f>IF(ISERROR(M30/$M$36),"",M30/$M$36)</f>
        <v/>
      </c>
    </row>
    <row r="31" ht="14.85" customHeight="1" spans="1:14">
      <c r="A31" s="137"/>
      <c r="B31" s="140"/>
      <c r="C31" s="129" t="s">
        <v>19</v>
      </c>
      <c r="D31" s="130">
        <f>IFERROR(SUMPRODUCT((危旧房屋改造项目分表!$B$6:$B$353=$D$3)*(危旧房屋改造项目分表!$AD$6:AD$353="是")*(危旧房屋改造项目分表!$O$6:$O$353="原址重建")*(危旧房屋改造项目分表!$V$6:$V$353&gt;=31%)*(危旧房屋改造项目分表!$V$6:$V$353&lt;=89%)*危旧房屋改造项目分表!$L$6:$L$353),"")</f>
        <v>0</v>
      </c>
      <c r="E31" s="130">
        <f>IFERROR(SUMPRODUCT((危旧房屋改造项目分表!$B$6:$B$353=$E$3)*(危旧房屋改造项目分表!$AD$6:AD$353="是")*(危旧房屋改造项目分表!$O$6:$O$353="原址重建")*(危旧房屋改造项目分表!$V$6:$V$353&gt;=31%)*(危旧房屋改造项目分表!$V$6:$V$353&lt;=89%)*危旧房屋改造项目分表!$L$6:$L$353),"")</f>
        <v>0</v>
      </c>
      <c r="F31" s="130">
        <f>IFERROR(SUMPRODUCT((危旧房屋改造项目分表!$B$6:$B$353=$F$3)*(危旧房屋改造项目分表!$AD$6:AD$353="是")*(危旧房屋改造项目分表!$O$6:$O$353="原址重建")*(危旧房屋改造项目分表!$V$6:$V$353&gt;=31%)*(危旧房屋改造项目分表!$V$6:$V$353&lt;=89%)*危旧房屋改造项目分表!$L$6:$L$353),"")</f>
        <v>0</v>
      </c>
      <c r="G31" s="130">
        <f>IFERROR(SUMPRODUCT((危旧房屋改造项目分表!$B$6:$B$353=$G$3)*(危旧房屋改造项目分表!$AD$6:AD$353="是")*(危旧房屋改造项目分表!$O$6:$O$353="原址重建")*(危旧房屋改造项目分表!$V$6:$V$353&gt;=31%)*(危旧房屋改造项目分表!$V$6:$V$353&lt;=89%)*危旧房屋改造项目分表!$L$6:$L$353),"")</f>
        <v>0</v>
      </c>
      <c r="H31" s="130">
        <f>IFERROR(SUMPRODUCT((危旧房屋改造项目分表!$B$6:$B$353=$H$3)*(危旧房屋改造项目分表!$AD$6:AD$353="是")*(危旧房屋改造项目分表!$O$6:$O$353="原址重建")*(危旧房屋改造项目分表!$V$6:$V$353&gt;=31%)*(危旧房屋改造项目分表!$V$6:$V$353&lt;=89%)*危旧房屋改造项目分表!$L$6:$L$353),"")</f>
        <v>0</v>
      </c>
      <c r="I31" s="130">
        <f>IFERROR(SUMPRODUCT((危旧房屋改造项目分表!$B$6:$B$353=$I$3)*(危旧房屋改造项目分表!$AD$6:AD$353="是")*(危旧房屋改造项目分表!$O$6:$O$353="原址重建")*(危旧房屋改造项目分表!$V$6:$V$353&gt;=31%)*(危旧房屋改造项目分表!$V$6:$V$353&lt;=89%)*危旧房屋改造项目分表!$L$6:$L$353),"")</f>
        <v>0</v>
      </c>
      <c r="J31" s="130">
        <f>IFERROR(SUMPRODUCT((危旧房屋改造项目分表!$B$6:$B$353=$J$3)*(危旧房屋改造项目分表!$AD$6:AD$353="是")*(危旧房屋改造项目分表!$O$6:$O$353="原址重建")*(危旧房屋改造项目分表!$V$6:$V$353&gt;=31%)*(危旧房屋改造项目分表!$V$6:$V$353&lt;=89%)*危旧房屋改造项目分表!$L$6:$L$353),"")</f>
        <v>0</v>
      </c>
      <c r="K31" s="130">
        <f>IFERROR(SUMPRODUCT((危旧房屋改造项目分表!$B$6:$B$353=$K$3)*(危旧房屋改造项目分表!$AD$6:AD$353="是")*(危旧房屋改造项目分表!$O$6:$O$353="原址重建")*(危旧房屋改造项目分表!$V$6:$V$353&gt;=31%)*(危旧房屋改造项目分表!$V$6:$V$353&lt;=89%)*危旧房屋改造项目分表!$L$6:$L$353),"")</f>
        <v>0</v>
      </c>
      <c r="L31" s="130">
        <f>IFERROR(SUMPRODUCT((危旧房屋改造项目分表!$B$6:$B$353=$L$3)*(危旧房屋改造项目分表!$AD$6:AD$353="是")*(危旧房屋改造项目分表!$O$6:$O$353="原址重建")*(危旧房屋改造项目分表!$V$6:$V$353&gt;=31%)*(危旧房屋改造项目分表!$V$6:$V$353&lt;=89%)*危旧房屋改造项目分表!$L$6:$L$353),"")</f>
        <v>0</v>
      </c>
      <c r="M31" s="130">
        <f>SUM($D$31:$L$31)</f>
        <v>0</v>
      </c>
      <c r="N31" s="149" t="str">
        <f>IF(ISERROR(M31/$M$37),"",M31/$M$37)</f>
        <v/>
      </c>
    </row>
    <row r="32" ht="15" customHeight="1" spans="1:14">
      <c r="A32" s="137"/>
      <c r="B32" s="140" t="s">
        <v>25</v>
      </c>
      <c r="C32" s="129" t="s">
        <v>17</v>
      </c>
      <c r="D32" s="130">
        <f>IFERROR(SUMPRODUCT((危旧房屋改造项目分表!$B$6:$B$353=$D$3)*(危旧房屋改造项目分表!$AD$6:AD$353="是")*(危旧房屋改造项目分表!$O$6:$O$353="原址重建")*(危旧房屋改造项目分表!$V$6:$V$353&gt;=90%)*危旧房屋改造项目分表!$AF$6:$AF$353),"")</f>
        <v>0</v>
      </c>
      <c r="E32" s="130">
        <f>IFERROR(SUMPRODUCT((危旧房屋改造项目分表!$B$6:$B$353=$E$3)*(危旧房屋改造项目分表!$AD$6:AD$353="是")*(危旧房屋改造项目分表!$O$6:$O$353="原址重建")*(危旧房屋改造项目分表!$V$6:$V$353&gt;=90%)*危旧房屋改造项目分表!$AF$6:$AF$353),"")</f>
        <v>0</v>
      </c>
      <c r="F32" s="130">
        <f>IFERROR(SUMPRODUCT((危旧房屋改造项目分表!$B$6:$B$353=$F$3)*(危旧房屋改造项目分表!$AD$6:AD$353="是")*(危旧房屋改造项目分表!$O$6:$O$353="原址重建")*(危旧房屋改造项目分表!$V$6:$V$353&gt;=90%)*危旧房屋改造项目分表!$AF$6:$AF$353),"")</f>
        <v>0</v>
      </c>
      <c r="G32" s="130">
        <f>IFERROR(SUMPRODUCT((危旧房屋改造项目分表!$B$6:$B$353=$G$3)*(危旧房屋改造项目分表!$AD$6:AD$353="是")*(危旧房屋改造项目分表!$O$6:$O$353="原址重建")*(危旧房屋改造项目分表!$V$6:$V$353&gt;=90%)*危旧房屋改造项目分表!$AF$6:$AF$353),"")</f>
        <v>0</v>
      </c>
      <c r="H32" s="130">
        <f>IFERROR(SUMPRODUCT((危旧房屋改造项目分表!$B$6:$B$353=$H$3)*(危旧房屋改造项目分表!$AD$6:AD$353="是")*(危旧房屋改造项目分表!$O$6:$O$353="原址重建")*(危旧房屋改造项目分表!$V$6:$V$353&gt;=90%)*危旧房屋改造项目分表!$AF$6:$AF$353),"")</f>
        <v>0</v>
      </c>
      <c r="I32" s="130">
        <f>IFERROR(SUMPRODUCT((危旧房屋改造项目分表!$B$6:$B$353=$I$3)*(危旧房屋改造项目分表!$AD$6:AD$353="是")*(危旧房屋改造项目分表!$O$6:$O$353="原址重建")*(危旧房屋改造项目分表!$V$6:$V$353&gt;=90%)*危旧房屋改造项目分表!$AF$6:$AF$353),"")</f>
        <v>0</v>
      </c>
      <c r="J32" s="130">
        <f>IFERROR(SUMPRODUCT((危旧房屋改造项目分表!$B$6:$B$353=$J$3)*(危旧房屋改造项目分表!$AD$6:AD$353="是")*(危旧房屋改造项目分表!$O$6:$O$353="原址重建")*(危旧房屋改造项目分表!$V$6:$V$353&gt;=90%)*危旧房屋改造项目分表!$AF$6:$AF$353),"")</f>
        <v>0</v>
      </c>
      <c r="K32" s="130">
        <f>IFERROR(SUMPRODUCT((危旧房屋改造项目分表!$B$6:$B$353=$K$3)*(危旧房屋改造项目分表!$AD$6:AD$353="是")*(危旧房屋改造项目分表!$O$6:$O$353="原址重建")*(危旧房屋改造项目分表!$V$6:$V$353&gt;=90%)*危旧房屋改造项目分表!$AF$6:$AF$353),"")</f>
        <v>0</v>
      </c>
      <c r="L32" s="130">
        <f>IFERROR(SUMPRODUCT((危旧房屋改造项目分表!$B$6:$B$353=$L$3)*(危旧房屋改造项目分表!$AD$6:AD$353="是")*(危旧房屋改造项目分表!$O$6:$O$353="原址重建")*(危旧房屋改造项目分表!$V$6:$V$353&gt;=90%)*危旧房屋改造项目分表!$AF$6:$AF$353),"")</f>
        <v>0</v>
      </c>
      <c r="M32" s="130">
        <f>SUM($D$32:$L$32)</f>
        <v>0</v>
      </c>
      <c r="N32" s="149" t="str">
        <f>IF(ISERROR(M32/$M$35),"",M32/$M$35)</f>
        <v/>
      </c>
    </row>
    <row r="33" ht="15" customHeight="1" spans="1:14">
      <c r="A33" s="137"/>
      <c r="B33" s="140"/>
      <c r="C33" s="129" t="s">
        <v>18</v>
      </c>
      <c r="D33" s="130">
        <f>IFERROR(SUMPRODUCT((危旧房屋改造项目分表!$B$6:$B$353=$D$3)*(危旧房屋改造项目分表!$AD$6:AD$353="是")*(危旧房屋改造项目分表!$O$6:$O$353="原址重建")*(危旧房屋改造项目分表!$V$6:$V$353&gt;=90%)*危旧房屋改造项目分表!$K$6:$K$353),"")</f>
        <v>0</v>
      </c>
      <c r="E33" s="130">
        <f>IFERROR(SUMPRODUCT((危旧房屋改造项目分表!$B$6:$B$353=$E$3)*(危旧房屋改造项目分表!$AD$6:AD$353="是")*(危旧房屋改造项目分表!$O$6:$O$353="原址重建")*(危旧房屋改造项目分表!$V$6:$V$353&gt;=90%)*危旧房屋改造项目分表!$K$6:$K$353),"")</f>
        <v>0</v>
      </c>
      <c r="F33" s="130">
        <f>IFERROR(SUMPRODUCT((危旧房屋改造项目分表!$B$6:$B$353=$F$3)*(危旧房屋改造项目分表!$AD$6:AD$353="是")*(危旧房屋改造项目分表!$O$6:$O$353="原址重建")*(危旧房屋改造项目分表!$V$6:$V$353&gt;=90%)*危旧房屋改造项目分表!$K$6:$K$353),"")</f>
        <v>0</v>
      </c>
      <c r="G33" s="130">
        <f>IFERROR(SUMPRODUCT((危旧房屋改造项目分表!$B$6:$B$353=$G$3)*(危旧房屋改造项目分表!$AD$6:AD$353="是")*(危旧房屋改造项目分表!$O$6:$O$353="原址重建")*(危旧房屋改造项目分表!$V$6:$V$353&gt;=90%)*危旧房屋改造项目分表!$K$6:$K$353),"")</f>
        <v>0</v>
      </c>
      <c r="H33" s="130">
        <f>IFERROR(SUMPRODUCT((危旧房屋改造项目分表!$B$6:$B$353=$H$3)*(危旧房屋改造项目分表!$AD$6:AD$353="是")*(危旧房屋改造项目分表!$O$6:$O$353="原址重建")*(危旧房屋改造项目分表!$V$6:$V$353&gt;=90%)*危旧房屋改造项目分表!$K$6:$K$353),"")</f>
        <v>0</v>
      </c>
      <c r="I33" s="130">
        <f>IFERROR(SUMPRODUCT((危旧房屋改造项目分表!$B$6:$B$353=$I$3)*(危旧房屋改造项目分表!$AD$6:AD$353="是")*(危旧房屋改造项目分表!$O$6:$O$353="原址重建")*(危旧房屋改造项目分表!$V$6:$V$353&gt;=90%)*危旧房屋改造项目分表!$K$6:$K$353),"")</f>
        <v>0</v>
      </c>
      <c r="J33" s="130">
        <f>IFERROR(SUMPRODUCT((危旧房屋改造项目分表!$B$6:$B$353=$J$3)*(危旧房屋改造项目分表!$AD$6:AD$353="是")*(危旧房屋改造项目分表!$O$6:$O$353="原址重建")*(危旧房屋改造项目分表!$V$6:$V$353&gt;=90%)*危旧房屋改造项目分表!$K$6:$K$353),"")</f>
        <v>0</v>
      </c>
      <c r="K33" s="130">
        <f>IFERROR(SUMPRODUCT((危旧房屋改造项目分表!$B$6:$B$353=$K$3)*(危旧房屋改造项目分表!$AD$6:AD$353="是")*(危旧房屋改造项目分表!$O$6:$O$353="原址重建")*(危旧房屋改造项目分表!$V$6:$V$353&gt;=90%)*危旧房屋改造项目分表!$K$6:$K$353),"")</f>
        <v>0</v>
      </c>
      <c r="L33" s="130">
        <f>IFERROR(SUMPRODUCT((危旧房屋改造项目分表!$B$6:$B$353=$L$3)*(危旧房屋改造项目分表!$AD$6:AD$353="是")*(危旧房屋改造项目分表!$O$6:$O$353="原址重建")*(危旧房屋改造项目分表!$V$6:$V$353&gt;=90%)*危旧房屋改造项目分表!$K$6:$K$353),"")</f>
        <v>0</v>
      </c>
      <c r="M33" s="130">
        <f>SUM($D$33:$L$33)</f>
        <v>0</v>
      </c>
      <c r="N33" s="149" t="str">
        <f>IF(ISERROR(M33/$M$36),"",M33/$M$36)</f>
        <v/>
      </c>
    </row>
    <row r="34" ht="15" customHeight="1" spans="1:14">
      <c r="A34" s="137"/>
      <c r="B34" s="140"/>
      <c r="C34" s="129" t="s">
        <v>19</v>
      </c>
      <c r="D34" s="130">
        <f>IFERROR(SUMPRODUCT((危旧房屋改造项目分表!$B$6:$B$353=$D$3)*(危旧房屋改造项目分表!$AD$6:AD$353="是")*(危旧房屋改造项目分表!$O$6:$O$353="原址重建")*(危旧房屋改造项目分表!$V$6:$V$353&gt;=90%)*危旧房屋改造项目分表!$L$6:$L$353),"")</f>
        <v>0</v>
      </c>
      <c r="E34" s="130">
        <f>IFERROR(SUMPRODUCT((危旧房屋改造项目分表!$B$6:$B$353=$E$3)*(危旧房屋改造项目分表!$AD$6:AD$353="是")*(危旧房屋改造项目分表!$O$6:$O$353="原址重建")*(危旧房屋改造项目分表!$V$6:$V$353&gt;=90%)*危旧房屋改造项目分表!$L$6:$L$353),"")</f>
        <v>0</v>
      </c>
      <c r="F34" s="130">
        <f>IFERROR(SUMPRODUCT((危旧房屋改造项目分表!$B$6:$B$353=$F$3)*(危旧房屋改造项目分表!$AD$6:AD$353="是")*(危旧房屋改造项目分表!$O$6:$O$353="原址重建")*(危旧房屋改造项目分表!$V$6:$V$353&gt;=90%)*危旧房屋改造项目分表!$L$6:$L$353),"")</f>
        <v>0</v>
      </c>
      <c r="G34" s="130">
        <f>IFERROR(SUMPRODUCT((危旧房屋改造项目分表!$B$6:$B$353=$G$3)*(危旧房屋改造项目分表!$AD$6:AD$353="是")*(危旧房屋改造项目分表!$O$6:$O$353="原址重建")*(危旧房屋改造项目分表!$V$6:$V$353&gt;=90%)*危旧房屋改造项目分表!$L$6:$L$353),"")</f>
        <v>0</v>
      </c>
      <c r="H34" s="130">
        <f>IFERROR(SUMPRODUCT((危旧房屋改造项目分表!$B$6:$B$353=$H$3)*(危旧房屋改造项目分表!$AD$6:AD$353="是")*(危旧房屋改造项目分表!$O$6:$O$353="原址重建")*(危旧房屋改造项目分表!$V$6:$V$353&gt;=90%)*危旧房屋改造项目分表!$L$6:$L$353),"")</f>
        <v>0</v>
      </c>
      <c r="I34" s="130">
        <f>IFERROR(SUMPRODUCT((危旧房屋改造项目分表!$B$6:$B$353=$I$3)*(危旧房屋改造项目分表!$AD$6:AD$353="是")*(危旧房屋改造项目分表!$O$6:$O$353="原址重建")*(危旧房屋改造项目分表!$V$6:$V$353&gt;=90%)*危旧房屋改造项目分表!$L$6:$L$353),"")</f>
        <v>0</v>
      </c>
      <c r="J34" s="130">
        <f>IFERROR(SUMPRODUCT((危旧房屋改造项目分表!$B$6:$B$353=$J$3)*(危旧房屋改造项目分表!$AD$6:AD$353="是")*(危旧房屋改造项目分表!$O$6:$O$353="原址重建")*(危旧房屋改造项目分表!$V$6:$V$353&gt;=90%)*危旧房屋改造项目分表!$L$6:$L$353),"")</f>
        <v>0</v>
      </c>
      <c r="K34" s="130">
        <f>IFERROR(SUMPRODUCT((危旧房屋改造项目分表!$B$6:$B$353=$K$3)*(危旧房屋改造项目分表!$AD$6:AD$353="是")*(危旧房屋改造项目分表!$O$6:$O$353="原址重建")*(危旧房屋改造项目分表!$V$6:$V$353&gt;=90%)*危旧房屋改造项目分表!$L$6:$L$353),"")</f>
        <v>0</v>
      </c>
      <c r="L34" s="130">
        <f>IFERROR(SUMPRODUCT((危旧房屋改造项目分表!$B$6:$B$353=$L$3)*(危旧房屋改造项目分表!$AD$6:AD$353="是")*(危旧房屋改造项目分表!$O$6:$O$353="原址重建")*(危旧房屋改造项目分表!$V$6:$V$353&gt;=90%)*危旧房屋改造项目分表!$L$6:$L$353),"")</f>
        <v>0</v>
      </c>
      <c r="M34" s="130">
        <f>SUM($D$34:$L$34)</f>
        <v>0</v>
      </c>
      <c r="N34" s="149" t="str">
        <f>IF(ISERROR(M34/$M$37),"",M34/$M$37)</f>
        <v/>
      </c>
    </row>
    <row r="35" ht="15" customHeight="1" spans="1:14">
      <c r="A35" s="137"/>
      <c r="B35" s="129" t="s">
        <v>26</v>
      </c>
      <c r="C35" s="129" t="s">
        <v>17</v>
      </c>
      <c r="D35" s="141">
        <f t="shared" ref="D35:L35" si="2">D26+D29+D32+D23</f>
        <v>0</v>
      </c>
      <c r="E35" s="141">
        <f t="shared" si="2"/>
        <v>0</v>
      </c>
      <c r="F35" s="141">
        <f t="shared" si="2"/>
        <v>0</v>
      </c>
      <c r="G35" s="141">
        <f t="shared" si="2"/>
        <v>0</v>
      </c>
      <c r="H35" s="141">
        <f t="shared" si="2"/>
        <v>0</v>
      </c>
      <c r="I35" s="141">
        <f t="shared" si="2"/>
        <v>0</v>
      </c>
      <c r="J35" s="141">
        <f t="shared" si="2"/>
        <v>0</v>
      </c>
      <c r="K35" s="141">
        <f t="shared" si="2"/>
        <v>0</v>
      </c>
      <c r="L35" s="141">
        <f t="shared" si="2"/>
        <v>0</v>
      </c>
      <c r="M35" s="130">
        <f t="shared" ref="M35:M37" si="3">SUM(D35:L35)</f>
        <v>0</v>
      </c>
      <c r="N35" s="149" t="str">
        <f t="shared" ref="N35:N37" si="4">IF(ISERROR(M35/M4),"",M35/M4)</f>
        <v/>
      </c>
    </row>
    <row r="36" ht="15" customHeight="1" spans="1:14">
      <c r="A36" s="137"/>
      <c r="B36" s="129"/>
      <c r="C36" s="129" t="s">
        <v>18</v>
      </c>
      <c r="D36" s="141">
        <f t="shared" ref="D36:L36" si="5">D27+D30+D33+D24</f>
        <v>0</v>
      </c>
      <c r="E36" s="141">
        <f t="shared" si="5"/>
        <v>0</v>
      </c>
      <c r="F36" s="141">
        <f t="shared" si="5"/>
        <v>0</v>
      </c>
      <c r="G36" s="141">
        <f t="shared" si="5"/>
        <v>0</v>
      </c>
      <c r="H36" s="141">
        <f t="shared" si="5"/>
        <v>0</v>
      </c>
      <c r="I36" s="141">
        <f t="shared" si="5"/>
        <v>0</v>
      </c>
      <c r="J36" s="141">
        <f t="shared" si="5"/>
        <v>0</v>
      </c>
      <c r="K36" s="141">
        <f t="shared" si="5"/>
        <v>0</v>
      </c>
      <c r="L36" s="141">
        <f t="shared" si="5"/>
        <v>0</v>
      </c>
      <c r="M36" s="130">
        <f t="shared" si="3"/>
        <v>0</v>
      </c>
      <c r="N36" s="149" t="str">
        <f t="shared" si="4"/>
        <v/>
      </c>
    </row>
    <row r="37" ht="15" customHeight="1" spans="1:14">
      <c r="A37" s="142"/>
      <c r="B37" s="129"/>
      <c r="C37" s="129" t="s">
        <v>19</v>
      </c>
      <c r="D37" s="143">
        <f t="shared" ref="D37:L37" si="6">D28+D31+D34+D25</f>
        <v>0</v>
      </c>
      <c r="E37" s="143">
        <f t="shared" si="6"/>
        <v>0</v>
      </c>
      <c r="F37" s="143">
        <f t="shared" si="6"/>
        <v>0</v>
      </c>
      <c r="G37" s="143">
        <f t="shared" si="6"/>
        <v>0</v>
      </c>
      <c r="H37" s="143">
        <f t="shared" si="6"/>
        <v>0</v>
      </c>
      <c r="I37" s="143">
        <f t="shared" si="6"/>
        <v>0</v>
      </c>
      <c r="J37" s="143">
        <f t="shared" si="6"/>
        <v>0</v>
      </c>
      <c r="K37" s="143">
        <f t="shared" si="6"/>
        <v>0</v>
      </c>
      <c r="L37" s="143">
        <f t="shared" si="6"/>
        <v>0</v>
      </c>
      <c r="M37" s="130">
        <f t="shared" si="3"/>
        <v>0</v>
      </c>
      <c r="N37" s="149" t="str">
        <f t="shared" si="4"/>
        <v/>
      </c>
    </row>
    <row r="38" ht="15" customHeight="1" spans="1:14">
      <c r="A38" s="135" t="s">
        <v>28</v>
      </c>
      <c r="B38" s="140" t="s">
        <v>22</v>
      </c>
      <c r="C38" s="129" t="s">
        <v>17</v>
      </c>
      <c r="D38" s="130">
        <f>IFERROR(SUMPRODUCT((危旧房屋改造项目分表!$B$6:$B$353=$D$3)*(危旧房屋改造项目分表!$AD$6:AD$353="是")*(危旧房屋改造项目分表!$O$6:$O$353="加面重建")*(危旧房屋改造项目分表!$V$6:$V$353&lt;=10%)*危旧房屋改造项目分表!$AF$6:$AF$353),"")</f>
        <v>0</v>
      </c>
      <c r="E38" s="130">
        <f>IFERROR(SUMPRODUCT((危旧房屋改造项目分表!$B$6:$B$353=$E$3)*(危旧房屋改造项目分表!$AD$6:AD$353="是")*(危旧房屋改造项目分表!$O$6:$O$353="加面重建")*(危旧房屋改造项目分表!$V$6:$V$353&lt;=10%)*危旧房屋改造项目分表!$AF$6:$AF$353),"")</f>
        <v>0</v>
      </c>
      <c r="F38" s="130">
        <f>IFERROR(SUMPRODUCT((危旧房屋改造项目分表!$B$6:$B$353=$F$3)*(危旧房屋改造项目分表!$AD$6:AD$353="是")*(危旧房屋改造项目分表!$O$6:$O$353="加面重建")*(危旧房屋改造项目分表!$V$6:$V$353&lt;=10%)*危旧房屋改造项目分表!$AF$6:$AF$353),"")</f>
        <v>0</v>
      </c>
      <c r="G38" s="130">
        <f>IFERROR(SUMPRODUCT((危旧房屋改造项目分表!$B$6:$B$353=$G$3)*(危旧房屋改造项目分表!$AD$6:AD$353="是")*(危旧房屋改造项目分表!$O$6:$O$353="加面重建")*(危旧房屋改造项目分表!$V$6:$V$353&lt;=10%)*危旧房屋改造项目分表!$AF$6:$AF$353),"")</f>
        <v>0</v>
      </c>
      <c r="H38" s="130">
        <f>IFERROR(SUMPRODUCT((危旧房屋改造项目分表!$B$6:$B$353=$H$3)*(危旧房屋改造项目分表!$AD$6:AD$353="是")*(危旧房屋改造项目分表!$O$6:$O$353="加面重建")*(危旧房屋改造项目分表!$V$6:$V$353&lt;=10%)*危旧房屋改造项目分表!$AF$6:$AF$353),"")</f>
        <v>0</v>
      </c>
      <c r="I38" s="130">
        <f>IFERROR(SUMPRODUCT((危旧房屋改造项目分表!$B$6:$B$353=$I$3)*(危旧房屋改造项目分表!$AD$6:AD$353="是")*(危旧房屋改造项目分表!$O$6:$O$353="加面重建")*(危旧房屋改造项目分表!$V$6:$V$353&lt;=10%)*危旧房屋改造项目分表!$AF$6:$AF$353),"")</f>
        <v>0</v>
      </c>
      <c r="J38" s="130">
        <f>IFERROR(SUMPRODUCT((危旧房屋改造项目分表!$B$6:$B$353=$J$3)*(危旧房屋改造项目分表!$AD$6:AD$353="是")*(危旧房屋改造项目分表!$O$6:$O$353="加面重建")*(危旧房屋改造项目分表!$V$6:$V$353&lt;=10%)*危旧房屋改造项目分表!$AF$6:$AF$353),"")</f>
        <v>0</v>
      </c>
      <c r="K38" s="130">
        <f>IFERROR(SUMPRODUCT((危旧房屋改造项目分表!$B$6:$B$353=$K$3)*(危旧房屋改造项目分表!$AD$6:AD$353="是")*(危旧房屋改造项目分表!$O$6:$O$353="加面重建")*(危旧房屋改造项目分表!$V$6:$V$353&lt;=10%)*危旧房屋改造项目分表!$AF$6:$AF$353),"")</f>
        <v>0</v>
      </c>
      <c r="L38" s="130">
        <f>IFERROR(SUMPRODUCT((危旧房屋改造项目分表!$B$6:$B$353=$L$3)*(危旧房屋改造项目分表!$AD$6:AD$353="是")*(危旧房屋改造项目分表!$O$6:$O$353="加面重建")*(危旧房屋改造项目分表!$V$6:$V$353&lt;=10%)*危旧房屋改造项目分表!$AF$6:$AF$353),"")</f>
        <v>0</v>
      </c>
      <c r="M38" s="130">
        <f>SUM($D$38:$L$38)</f>
        <v>0</v>
      </c>
      <c r="N38" s="149" t="str">
        <f>IF(ISERROR(M38/$M$50),"",M38/$M$50)</f>
        <v/>
      </c>
    </row>
    <row r="39" ht="15" customHeight="1" spans="1:14">
      <c r="A39" s="137"/>
      <c r="B39" s="140"/>
      <c r="C39" s="129" t="s">
        <v>18</v>
      </c>
      <c r="D39" s="130">
        <f>IFERROR(SUMPRODUCT((危旧房屋改造项目分表!$B$6:$B$353=$D$3)*(危旧房屋改造项目分表!$AD$6:AD$353="是")*(危旧房屋改造项目分表!$O$6:$O$353="加面重建")*(危旧房屋改造项目分表!$V$6:$V$353&lt;=10%)*危旧房屋改造项目分表!$K$6:$K$353),"")</f>
        <v>0</v>
      </c>
      <c r="E39" s="130">
        <f>IFERROR(SUMPRODUCT((危旧房屋改造项目分表!$B$6:$B$353=$E$3)*(危旧房屋改造项目分表!$AD$6:AD$353="是")*(危旧房屋改造项目分表!$O$6:$O$353="加面重建")*(危旧房屋改造项目分表!$V$6:$V$353&lt;=10%)*危旧房屋改造项目分表!$K$6:$K$353),"")</f>
        <v>0</v>
      </c>
      <c r="F39" s="130">
        <f>IFERROR(SUMPRODUCT((危旧房屋改造项目分表!$B$6:$B$353=$F$3)*(危旧房屋改造项目分表!$AD$6:AD$353="是")*(危旧房屋改造项目分表!$O$6:$O$353="加面重建")*(危旧房屋改造项目分表!$V$6:$V$353&lt;=10%)*危旧房屋改造项目分表!$K$6:$K$353),"")</f>
        <v>0</v>
      </c>
      <c r="G39" s="130">
        <f>IFERROR(SUMPRODUCT((危旧房屋改造项目分表!$B$6:$B$353=$G$3)*(危旧房屋改造项目分表!$AD$6:AD$353="是")*(危旧房屋改造项目分表!$O$6:$O$353="加面重建")*(危旧房屋改造项目分表!$V$6:$V$353&lt;=10%)*危旧房屋改造项目分表!$K$6:$K$353),"")</f>
        <v>0</v>
      </c>
      <c r="H39" s="130">
        <f>IFERROR(SUMPRODUCT((危旧房屋改造项目分表!$B$6:$B$353=$H$3)*(危旧房屋改造项目分表!$AD$6:AD$353="是")*(危旧房屋改造项目分表!$O$6:$O$353="加面重建")*(危旧房屋改造项目分表!$V$6:$V$353&lt;=10%)*危旧房屋改造项目分表!$K$6:$K$353),"")</f>
        <v>0</v>
      </c>
      <c r="I39" s="130">
        <f>IFERROR(SUMPRODUCT((危旧房屋改造项目分表!$B$6:$B$353=$I$3)*(危旧房屋改造项目分表!$AD$6:AD$353="是")*(危旧房屋改造项目分表!$O$6:$O$353="加面重建")*(危旧房屋改造项目分表!$V$6:$V$353&lt;=10%)*危旧房屋改造项目分表!$K$6:$K$353),"")</f>
        <v>0</v>
      </c>
      <c r="J39" s="130">
        <f>IFERROR(SUMPRODUCT((危旧房屋改造项目分表!$B$6:$B$353=$J$3)*(危旧房屋改造项目分表!$AD$6:AD$353="是")*(危旧房屋改造项目分表!$O$6:$O$353="加面重建")*(危旧房屋改造项目分表!$V$6:$V$353&lt;=10%)*危旧房屋改造项目分表!$K$6:$K$353),"")</f>
        <v>0</v>
      </c>
      <c r="K39" s="130">
        <f>IFERROR(SUMPRODUCT((危旧房屋改造项目分表!$B$6:$B$353=$K$3)*(危旧房屋改造项目分表!$AD$6:AD$353="是")*(危旧房屋改造项目分表!$O$6:$O$353="加面重建")*(危旧房屋改造项目分表!$V$6:$V$353&lt;=10%)*危旧房屋改造项目分表!$K$6:$K$353),"")</f>
        <v>0</v>
      </c>
      <c r="L39" s="130">
        <f>IFERROR(SUMPRODUCT((危旧房屋改造项目分表!$B$6:$B$353=$L$3)*(危旧房屋改造项目分表!$AD$6:AD$353="是")*(危旧房屋改造项目分表!$O$6:$O$353="加面重建")*(危旧房屋改造项目分表!$V$6:$V$353&lt;=10%)*危旧房屋改造项目分表!$K$6:$K$353),"")</f>
        <v>0</v>
      </c>
      <c r="M39" s="130">
        <f>SUM($D$39:$L$39)</f>
        <v>0</v>
      </c>
      <c r="N39" s="149" t="str">
        <f>IF(ISERROR(M39/$M$51),"",M39/$M$51)</f>
        <v/>
      </c>
    </row>
    <row r="40" ht="15" customHeight="1" spans="1:14">
      <c r="A40" s="137"/>
      <c r="B40" s="140"/>
      <c r="C40" s="129" t="s">
        <v>19</v>
      </c>
      <c r="D40" s="130">
        <f>IFERROR(SUMPRODUCT((危旧房屋改造项目分表!$B$6:$B$353=$D$3)*(危旧房屋改造项目分表!$AD$6:AD$353="是")*(危旧房屋改造项目分表!$O$6:$O$353="加面重建")*(危旧房屋改造项目分表!$V$6:$V$353&lt;=10%)*危旧房屋改造项目分表!$L$6:$L$353),"")</f>
        <v>0</v>
      </c>
      <c r="E40" s="130">
        <f>IFERROR(SUMPRODUCT((危旧房屋改造项目分表!$B$6:$B$353=$E$3)*(危旧房屋改造项目分表!$AD$6:AD$353="是")*(危旧房屋改造项目分表!$O$6:$O$353="加面重建")*(危旧房屋改造项目分表!$V$6:$V$353&lt;=10%)*危旧房屋改造项目分表!$L$6:$L$353),"")</f>
        <v>0</v>
      </c>
      <c r="F40" s="130">
        <f>IFERROR(SUMPRODUCT((危旧房屋改造项目分表!$B$6:$B$353=$F$3)*(危旧房屋改造项目分表!$AD$6:AD$353="是")*(危旧房屋改造项目分表!$O$6:$O$353="加面重建")*(危旧房屋改造项目分表!$V$6:$V$353&lt;=10%)*危旧房屋改造项目分表!$L$6:$L$353),"")</f>
        <v>0</v>
      </c>
      <c r="G40" s="130">
        <f>IFERROR(SUMPRODUCT((危旧房屋改造项目分表!$B$6:$B$353=$G$3)*(危旧房屋改造项目分表!$AD$6:AD$353="是")*(危旧房屋改造项目分表!$O$6:$O$353="加面重建")*(危旧房屋改造项目分表!$V$6:$V$353&lt;=10%)*危旧房屋改造项目分表!$L$6:$L$353),"")</f>
        <v>0</v>
      </c>
      <c r="H40" s="130">
        <f>IFERROR(SUMPRODUCT((危旧房屋改造项目分表!$B$6:$B$353=$H$3)*(危旧房屋改造项目分表!$AD$6:AD$353="是")*(危旧房屋改造项目分表!$O$6:$O$353="加面重建")*(危旧房屋改造项目分表!$V$6:$V$353&lt;=10%)*危旧房屋改造项目分表!$L$6:$L$353),"")</f>
        <v>0</v>
      </c>
      <c r="I40" s="130">
        <f>IFERROR(SUMPRODUCT((危旧房屋改造项目分表!$B$6:$B$353=$I$3)*(危旧房屋改造项目分表!$AD$6:AD$353="是")*(危旧房屋改造项目分表!$O$6:$O$353="加面重建")*(危旧房屋改造项目分表!$V$6:$V$353&lt;=10%)*危旧房屋改造项目分表!$L$6:$L$353),"")</f>
        <v>0</v>
      </c>
      <c r="J40" s="130">
        <f>IFERROR(SUMPRODUCT((危旧房屋改造项目分表!$B$6:$B$353=$J$3)*(危旧房屋改造项目分表!$AD$6:AD$353="是")*(危旧房屋改造项目分表!$O$6:$O$353="加面重建")*(危旧房屋改造项目分表!$V$6:$V$353&lt;=10%)*危旧房屋改造项目分表!$L$6:$L$353),"")</f>
        <v>0</v>
      </c>
      <c r="K40" s="130">
        <f>IFERROR(SUMPRODUCT((危旧房屋改造项目分表!$B$6:$B$353=$K$3)*(危旧房屋改造项目分表!$AD$6:AD$353="是")*(危旧房屋改造项目分表!$O$6:$O$353="加面重建")*(危旧房屋改造项目分表!$V$6:$V$353&lt;=10%)*危旧房屋改造项目分表!$L$6:$L$353),"")</f>
        <v>0</v>
      </c>
      <c r="L40" s="130">
        <f>IFERROR(SUMPRODUCT((危旧房屋改造项目分表!$B$6:$B$353=$L$3)*(危旧房屋改造项目分表!$AD$6:AD$353="是")*(危旧房屋改造项目分表!$O$6:$O$353="加面重建")*(危旧房屋改造项目分表!$V$6:$V$353&lt;=10%)*危旧房屋改造项目分表!$L$6:$L$353),"")</f>
        <v>0</v>
      </c>
      <c r="M40" s="130">
        <f>SUM($D$40:$L$40)</f>
        <v>0</v>
      </c>
      <c r="N40" s="149" t="str">
        <f>IF(ISERROR(M40/$M$52),"",M40/$M$52)</f>
        <v/>
      </c>
    </row>
    <row r="41" ht="15" customHeight="1" spans="1:14">
      <c r="A41" s="137"/>
      <c r="B41" s="140" t="s">
        <v>23</v>
      </c>
      <c r="C41" s="129" t="s">
        <v>17</v>
      </c>
      <c r="D41" s="130">
        <f>IFERROR(SUMPRODUCT((危旧房屋改造项目分表!$B$6:$B$353=$D$3)*(危旧房屋改造项目分表!$AD$6:AD$353="是")*(危旧房屋改造项目分表!$O$6:$O$353="加面重建")*(危旧房屋改造项目分表!$V$6:$V$353&gt;=11%)*(危旧房屋改造项目分表!$V$6:$V$353&lt;=30%)*危旧房屋改造项目分表!$AF$6:$AF$353),"")</f>
        <v>0</v>
      </c>
      <c r="E41" s="130">
        <f>IFERROR(SUMPRODUCT((危旧房屋改造项目分表!$B$6:$B$353=$E$3)*(危旧房屋改造项目分表!$AD$6:AD$353="是")*(危旧房屋改造项目分表!$O$6:$O$353="加面重建")*(危旧房屋改造项目分表!$V$6:$V$353&gt;=11%)*(危旧房屋改造项目分表!$V$6:$V$353&lt;=30%)*危旧房屋改造项目分表!$AF$6:$AF$353),"")</f>
        <v>0</v>
      </c>
      <c r="F41" s="130">
        <f>IFERROR(SUMPRODUCT((危旧房屋改造项目分表!$B$6:$B$353=$F$3)*(危旧房屋改造项目分表!$AD$6:AD$353="是")*(危旧房屋改造项目分表!$O$6:$O$353="加面重建")*(危旧房屋改造项目分表!$V$6:$V$353&gt;=11%)*(危旧房屋改造项目分表!$V$6:$V$353&lt;=30%)*危旧房屋改造项目分表!$AF$6:$AF$353),"")</f>
        <v>0</v>
      </c>
      <c r="G41" s="130">
        <f>IFERROR(SUMPRODUCT((危旧房屋改造项目分表!$B$6:$B$353=$G$3)*(危旧房屋改造项目分表!$AD$6:AD$353="是")*(危旧房屋改造项目分表!$O$6:$O$353="加面重建")*(危旧房屋改造项目分表!$V$6:$V$353&gt;=11%)*(危旧房屋改造项目分表!$V$6:$V$353&lt;=30%)*危旧房屋改造项目分表!$AF$6:$AF$353),"")</f>
        <v>0</v>
      </c>
      <c r="H41" s="130">
        <f>IFERROR(SUMPRODUCT((危旧房屋改造项目分表!$B$6:$B$353=$H$3)*(危旧房屋改造项目分表!$AD$6:AD$353="是")*(危旧房屋改造项目分表!$O$6:$O$353="加面重建")*(危旧房屋改造项目分表!$V$6:$V$353&gt;=11%)*(危旧房屋改造项目分表!$V$6:$V$353&lt;=30%)*危旧房屋改造项目分表!$AF$6:$AF$353),"")</f>
        <v>0</v>
      </c>
      <c r="I41" s="130">
        <f>IFERROR(SUMPRODUCT((危旧房屋改造项目分表!$B$6:$B$353=$I$3)*(危旧房屋改造项目分表!$AD$6:AD$353="是")*(危旧房屋改造项目分表!$O$6:$O$353="加面重建")*(危旧房屋改造项目分表!$V$6:$V$353&gt;=11%)*(危旧房屋改造项目分表!$V$6:$V$353&lt;=30%)*危旧房屋改造项目分表!$AF$6:$AF$353),"")</f>
        <v>0</v>
      </c>
      <c r="J41" s="130">
        <f>IFERROR(SUMPRODUCT((危旧房屋改造项目分表!$B$6:$B$353=$J$3)*(危旧房屋改造项目分表!$AD$6:AD$353="是")*(危旧房屋改造项目分表!$O$6:$O$353="加面重建")*(危旧房屋改造项目分表!$V$6:$V$353&gt;=11%)*(危旧房屋改造项目分表!$V$6:$V$353&lt;=30%)*危旧房屋改造项目分表!$AF$6:$AF$353),"")</f>
        <v>0</v>
      </c>
      <c r="K41" s="130">
        <f>IFERROR(SUMPRODUCT((危旧房屋改造项目分表!$B$6:$B$353=$K$3)*(危旧房屋改造项目分表!$AD$6:AD$353="是")*(危旧房屋改造项目分表!$O$6:$O$353="加面重建")*(危旧房屋改造项目分表!$V$6:$V$353&gt;=11%)*(危旧房屋改造项目分表!$V$6:$V$353&lt;=30%)*危旧房屋改造项目分表!$AF$6:$AF$353),"")</f>
        <v>0</v>
      </c>
      <c r="L41" s="130">
        <f>IFERROR(SUMPRODUCT((危旧房屋改造项目分表!$B$6:$B$353=$L$3)*(危旧房屋改造项目分表!$AD$6:AD$353="是")*(危旧房屋改造项目分表!$O$6:$O$353="加面重建")*(危旧房屋改造项目分表!$V$6:$V$353&gt;=11%)*(危旧房屋改造项目分表!$V$6:$V$353&lt;=30%)*危旧房屋改造项目分表!$AF$6:$AF$353),"")</f>
        <v>0</v>
      </c>
      <c r="M41" s="130">
        <f>SUM($D$41:$L$41)</f>
        <v>0</v>
      </c>
      <c r="N41" s="149" t="str">
        <f>IF(ISERROR(M41/$M$50),"",M41/$M$50)</f>
        <v/>
      </c>
    </row>
    <row r="42" ht="15" customHeight="1" spans="1:14">
      <c r="A42" s="137"/>
      <c r="B42" s="140"/>
      <c r="C42" s="129" t="s">
        <v>18</v>
      </c>
      <c r="D42" s="130">
        <f>IFERROR(SUMPRODUCT((危旧房屋改造项目分表!$B$6:$B$353=$D$3)*(危旧房屋改造项目分表!$AD$6:AD$353="是")*(危旧房屋改造项目分表!$O$6:$O$353="加面重建")*(危旧房屋改造项目分表!$V$6:$V$353&gt;=11%)*(危旧房屋改造项目分表!$V$6:$V$353&lt;=30%)*危旧房屋改造项目分表!$K$6:$K$353),"")</f>
        <v>0</v>
      </c>
      <c r="E42" s="130">
        <f>IFERROR(SUMPRODUCT((危旧房屋改造项目分表!$B$6:$B$353=$E$3)*(危旧房屋改造项目分表!$AD$6:AD$353="是")*(危旧房屋改造项目分表!$O$6:$O$353="加面重建")*(危旧房屋改造项目分表!$V$6:$V$353&gt;=11%)*(危旧房屋改造项目分表!$V$6:$V$353&lt;=30%)*危旧房屋改造项目分表!$K$6:$K$353),"")</f>
        <v>0</v>
      </c>
      <c r="F42" s="130">
        <f>IFERROR(SUMPRODUCT((危旧房屋改造项目分表!$B$6:$B$353=$F$3)*(危旧房屋改造项目分表!$AD$6:AD$353="是")*(危旧房屋改造项目分表!$O$6:$O$353="加面重建")*(危旧房屋改造项目分表!$V$6:$V$353&gt;=11%)*(危旧房屋改造项目分表!$V$6:$V$353&lt;=30%)*危旧房屋改造项目分表!$K$6:$K$353),"")</f>
        <v>0</v>
      </c>
      <c r="G42" s="130">
        <f>IFERROR(SUMPRODUCT((危旧房屋改造项目分表!$B$6:$B$353=$G$3)*(危旧房屋改造项目分表!$AD$6:AD$353="是")*(危旧房屋改造项目分表!$O$6:$O$353="加面重建")*(危旧房屋改造项目分表!$V$6:$V$353&gt;=11%)*(危旧房屋改造项目分表!$V$6:$V$353&lt;=30%)*危旧房屋改造项目分表!$K$6:$K$353),"")</f>
        <v>0</v>
      </c>
      <c r="H42" s="130">
        <f>IFERROR(SUMPRODUCT((危旧房屋改造项目分表!$B$6:$B$353=$H$3)*(危旧房屋改造项目分表!$AD$6:AD$353="是")*(危旧房屋改造项目分表!$O$6:$O$353="加面重建")*(危旧房屋改造项目分表!$V$6:$V$353&gt;=11%)*(危旧房屋改造项目分表!$V$6:$V$353&lt;=30%)*危旧房屋改造项目分表!$K$6:$K$353),"")</f>
        <v>0</v>
      </c>
      <c r="I42" s="130">
        <f>IFERROR(SUMPRODUCT((危旧房屋改造项目分表!$B$6:$B$353=$I$3)*(危旧房屋改造项目分表!$AD$6:AD$353="是")*(危旧房屋改造项目分表!$O$6:$O$353="加面重建")*(危旧房屋改造项目分表!$V$6:$V$353&gt;=11%)*(危旧房屋改造项目分表!$V$6:$V$353&lt;=30%)*危旧房屋改造项目分表!$K$6:$K$353),"")</f>
        <v>0</v>
      </c>
      <c r="J42" s="130">
        <f>IFERROR(SUMPRODUCT((危旧房屋改造项目分表!$B$6:$B$353=$J$3)*(危旧房屋改造项目分表!$AD$6:AD$353="是")*(危旧房屋改造项目分表!$O$6:$O$353="加面重建")*(危旧房屋改造项目分表!$V$6:$V$353&gt;=11%)*(危旧房屋改造项目分表!$V$6:$V$353&lt;=30%)*危旧房屋改造项目分表!$K$6:$K$353),"")</f>
        <v>0</v>
      </c>
      <c r="K42" s="130">
        <f>IFERROR(SUMPRODUCT((危旧房屋改造项目分表!$B$6:$B$353=$K$3)*(危旧房屋改造项目分表!$AD$6:AD$353="是")*(危旧房屋改造项目分表!$O$6:$O$353="加面重建")*(危旧房屋改造项目分表!$V$6:$V$353&gt;=11%)*(危旧房屋改造项目分表!$V$6:$V$353&lt;=30%)*危旧房屋改造项目分表!$K$6:$K$353),"")</f>
        <v>0</v>
      </c>
      <c r="L42" s="130">
        <f>IFERROR(SUMPRODUCT((危旧房屋改造项目分表!$B$6:$B$353=$L$3)*(危旧房屋改造项目分表!$AD$6:AD$353="是")*(危旧房屋改造项目分表!$O$6:$O$353="加面重建")*(危旧房屋改造项目分表!$V$6:$V$353&gt;=11%)*(危旧房屋改造项目分表!$V$6:$V$353&lt;=30%)*危旧房屋改造项目分表!$K$6:$K$353),"")</f>
        <v>0</v>
      </c>
      <c r="M42" s="130">
        <f>SUM($D$42:$L$42)</f>
        <v>0</v>
      </c>
      <c r="N42" s="149" t="str">
        <f>IF(ISERROR(M42/$M$51),"",M42/$M$51)</f>
        <v/>
      </c>
    </row>
    <row r="43" ht="15" customHeight="1" spans="1:14">
      <c r="A43" s="137"/>
      <c r="B43" s="140"/>
      <c r="C43" s="129" t="s">
        <v>19</v>
      </c>
      <c r="D43" s="130">
        <f>IFERROR(SUMPRODUCT((危旧房屋改造项目分表!$B$6:$B$353=$D$3)*(危旧房屋改造项目分表!$AD$6:AD$353="是")*(危旧房屋改造项目分表!$O$6:$O$353="加面重建")*(危旧房屋改造项目分表!$V$6:$V$353&gt;=11%)*(危旧房屋改造项目分表!$V$6:$V$353&lt;=30%)*危旧房屋改造项目分表!$L$6:$L$353),"")</f>
        <v>0</v>
      </c>
      <c r="E43" s="130">
        <f>IFERROR(SUMPRODUCT((危旧房屋改造项目分表!$B$6:$B$353=$E$3)*(危旧房屋改造项目分表!$AD$6:AD$353="是")*(危旧房屋改造项目分表!$O$6:$O$353="加面重建")*(危旧房屋改造项目分表!$V$6:$V$353&gt;=11%)*(危旧房屋改造项目分表!$V$6:$V$353&lt;=30%)*危旧房屋改造项目分表!$L$6:$L$353),"")</f>
        <v>0</v>
      </c>
      <c r="F43" s="130">
        <f>IFERROR(SUMPRODUCT((危旧房屋改造项目分表!$B$6:$B$353=$F$3)*(危旧房屋改造项目分表!$AD$6:AD$353="是")*(危旧房屋改造项目分表!$O$6:$O$353="加面重建")*(危旧房屋改造项目分表!$V$6:$V$353&gt;=11%)*(危旧房屋改造项目分表!$V$6:$V$353&lt;=30%)*危旧房屋改造项目分表!$L$6:$L$353),"")</f>
        <v>0</v>
      </c>
      <c r="G43" s="130">
        <f>IFERROR(SUMPRODUCT((危旧房屋改造项目分表!$B$6:$B$353=$G$3)*(危旧房屋改造项目分表!$AD$6:AD$353="是")*(危旧房屋改造项目分表!$O$6:$O$353="加面重建")*(危旧房屋改造项目分表!$V$6:$V$353&gt;=11%)*(危旧房屋改造项目分表!$V$6:$V$353&lt;=30%)*危旧房屋改造项目分表!$L$6:$L$353),"")</f>
        <v>0</v>
      </c>
      <c r="H43" s="130">
        <f>IFERROR(SUMPRODUCT((危旧房屋改造项目分表!$B$6:$B$353=$H$3)*(危旧房屋改造项目分表!$AD$6:AD$353="是")*(危旧房屋改造项目分表!$O$6:$O$353="加面重建")*(危旧房屋改造项目分表!$V$6:$V$353&gt;=11%)*(危旧房屋改造项目分表!$V$6:$V$353&lt;=30%)*危旧房屋改造项目分表!$L$6:$L$353),"")</f>
        <v>0</v>
      </c>
      <c r="I43" s="130">
        <f>IFERROR(SUMPRODUCT((危旧房屋改造项目分表!$B$6:$B$353=$I$3)*(危旧房屋改造项目分表!$AD$6:AD$353="是")*(危旧房屋改造项目分表!$O$6:$O$353="加面重建")*(危旧房屋改造项目分表!$V$6:$V$353&gt;=11%)*(危旧房屋改造项目分表!$V$6:$V$353&lt;=30%)*危旧房屋改造项目分表!$L$6:$L$353),"")</f>
        <v>0</v>
      </c>
      <c r="J43" s="130">
        <f>IFERROR(SUMPRODUCT((危旧房屋改造项目分表!$B$6:$B$353=$J$3)*(危旧房屋改造项目分表!$AD$6:AD$353="是")*(危旧房屋改造项目分表!$O$6:$O$353="加面重建")*(危旧房屋改造项目分表!$V$6:$V$353&gt;=11%)*(危旧房屋改造项目分表!$V$6:$V$353&lt;=30%)*危旧房屋改造项目分表!$L$6:$L$353),"")</f>
        <v>0</v>
      </c>
      <c r="K43" s="130">
        <f>IFERROR(SUMPRODUCT((危旧房屋改造项目分表!$B$6:$B$353=$K$3)*(危旧房屋改造项目分表!$AD$6:AD$353="是")*(危旧房屋改造项目分表!$O$6:$O$353="加面重建")*(危旧房屋改造项目分表!$V$6:$V$353&gt;=11%)*(危旧房屋改造项目分表!$V$6:$V$353&lt;=30%)*危旧房屋改造项目分表!$L$6:$L$353),"")</f>
        <v>0</v>
      </c>
      <c r="L43" s="130">
        <f>IFERROR(SUMPRODUCT((危旧房屋改造项目分表!$B$6:$B$353=$L$3)*(危旧房屋改造项目分表!$AD$6:AD$353="是")*(危旧房屋改造项目分表!$O$6:$O$353="加面重建")*(危旧房屋改造项目分表!$V$6:$V$353&gt;=11%)*(危旧房屋改造项目分表!$V$6:$V$353&lt;=30%)*危旧房屋改造项目分表!$L$6:$L$353),"")</f>
        <v>0</v>
      </c>
      <c r="M43" s="130">
        <f>SUM($D$43:$L$43)</f>
        <v>0</v>
      </c>
      <c r="N43" s="149" t="str">
        <f>IF(ISERROR(M43/$M$52),"",M43/$M$52)</f>
        <v/>
      </c>
    </row>
    <row r="44" ht="15" customHeight="1" spans="1:14">
      <c r="A44" s="137"/>
      <c r="B44" s="140" t="s">
        <v>24</v>
      </c>
      <c r="C44" s="129" t="s">
        <v>17</v>
      </c>
      <c r="D44" s="130">
        <f>IFERROR(SUMPRODUCT((危旧房屋改造项目分表!$B$6:$B$353=$D$3)*(危旧房屋改造项目分表!$AD$6:AD$353="是")*(危旧房屋改造项目分表!$O$6:$O$353="加面重建")*(危旧房屋改造项目分表!$V$6:$V$353&gt;=31%)*(危旧房屋改造项目分表!$V$6:$V$353&lt;=89%)*危旧房屋改造项目分表!$AF$6:$AF$353),"")</f>
        <v>0</v>
      </c>
      <c r="E44" s="130">
        <f>IFERROR(SUMPRODUCT((危旧房屋改造项目分表!$B$6:$B$353=$E$3)*(危旧房屋改造项目分表!$AD$6:AD$353="是")*(危旧房屋改造项目分表!$O$6:$O$353="加面重建")*(危旧房屋改造项目分表!$V$6:$V$353&gt;=31%)*(危旧房屋改造项目分表!$V$6:$V$353&lt;=89%)*危旧房屋改造项目分表!$AF$6:$AF$353),"")</f>
        <v>0</v>
      </c>
      <c r="F44" s="130">
        <f>IFERROR(SUMPRODUCT((危旧房屋改造项目分表!$B$6:$B$353=$F$3)*(危旧房屋改造项目分表!$AD$6:AD$353="是")*(危旧房屋改造项目分表!$O$6:$O$353="加面重建")*(危旧房屋改造项目分表!$V$6:$V$353&gt;=31%)*(危旧房屋改造项目分表!$V$6:$V$353&lt;=89%)*危旧房屋改造项目分表!$AF$6:$AF$353),"")</f>
        <v>0</v>
      </c>
      <c r="G44" s="130">
        <f>IFERROR(SUMPRODUCT((危旧房屋改造项目分表!$B$6:$B$353=$G$3)*(危旧房屋改造项目分表!$AD$6:AD$353="是")*(危旧房屋改造项目分表!$O$6:$O$353="加面重建")*(危旧房屋改造项目分表!$V$6:$V$353&gt;=31%)*(危旧房屋改造项目分表!$V$6:$V$353&lt;=89%)*危旧房屋改造项目分表!$AF$6:$AF$353),"")</f>
        <v>0</v>
      </c>
      <c r="H44" s="130">
        <f>IFERROR(SUMPRODUCT((危旧房屋改造项目分表!$B$6:$B$353=$H$3)*(危旧房屋改造项目分表!$AD$6:AD$353="是")*(危旧房屋改造项目分表!$O$6:$O$353="加面重建")*(危旧房屋改造项目分表!$V$6:$V$353&gt;=31%)*(危旧房屋改造项目分表!$V$6:$V$353&lt;=89%)*危旧房屋改造项目分表!$AF$6:$AF$353),"")</f>
        <v>0</v>
      </c>
      <c r="I44" s="130">
        <f>IFERROR(SUMPRODUCT((危旧房屋改造项目分表!$B$6:$B$353=$I$3)*(危旧房屋改造项目分表!$AD$6:AD$353="是")*(危旧房屋改造项目分表!$O$6:$O$353="加面重建")*(危旧房屋改造项目分表!$V$6:$V$353&gt;=31%)*(危旧房屋改造项目分表!$V$6:$V$353&lt;=89%)*危旧房屋改造项目分表!$AF$6:$AF$353),"")</f>
        <v>0</v>
      </c>
      <c r="J44" s="130">
        <f>IFERROR(SUMPRODUCT((危旧房屋改造项目分表!$B$6:$B$353=$J$3)*(危旧房屋改造项目分表!$AD$6:AD$353="是")*(危旧房屋改造项目分表!$O$6:$O$353="加面重建")*(危旧房屋改造项目分表!$V$6:$V$353&gt;=31%)*(危旧房屋改造项目分表!$V$6:$V$353&lt;=89%)*危旧房屋改造项目分表!$AF$6:$AF$353),"")</f>
        <v>0</v>
      </c>
      <c r="K44" s="130">
        <f>IFERROR(SUMPRODUCT((危旧房屋改造项目分表!$B$6:$B$353=$K$3)*(危旧房屋改造项目分表!$AD$6:AD$353="是")*(危旧房屋改造项目分表!$O$6:$O$353="加面重建")*(危旧房屋改造项目分表!$V$6:$V$353&gt;=31%)*(危旧房屋改造项目分表!$V$6:$V$353&lt;=89%)*危旧房屋改造项目分表!$AF$6:$AF$353),"")</f>
        <v>0</v>
      </c>
      <c r="L44" s="130">
        <f>IFERROR(SUMPRODUCT((危旧房屋改造项目分表!$B$6:$B$353=$L$3)*(危旧房屋改造项目分表!$AD$6:AD$353="是")*(危旧房屋改造项目分表!$O$6:$O$353="加面重建")*(危旧房屋改造项目分表!$V$6:$V$353&gt;=31%)*(危旧房屋改造项目分表!$V$6:$V$353&lt;=89%)*危旧房屋改造项目分表!$AF$6:$AF$353),"")</f>
        <v>0</v>
      </c>
      <c r="M44" s="130">
        <f>SUM($D$44:$L$44)</f>
        <v>0</v>
      </c>
      <c r="N44" s="149" t="str">
        <f>IF(ISERROR(M44/$M$50),"",M44/$M$50)</f>
        <v/>
      </c>
    </row>
    <row r="45" ht="15" customHeight="1" spans="1:14">
      <c r="A45" s="137"/>
      <c r="B45" s="140"/>
      <c r="C45" s="129" t="s">
        <v>18</v>
      </c>
      <c r="D45" s="130">
        <f>IFERROR(SUMPRODUCT((危旧房屋改造项目分表!$B$6:$B$353=$D$3)*(危旧房屋改造项目分表!$AD$6:AD$353="是")*(危旧房屋改造项目分表!$O$6:$O$353="加面重建")*(危旧房屋改造项目分表!$V$6:$V$353&gt;=31%)*(危旧房屋改造项目分表!$V$6:$V$353&lt;=89%)*危旧房屋改造项目分表!$K$6:$K$353),"")</f>
        <v>0</v>
      </c>
      <c r="E45" s="130">
        <f>IFERROR(SUMPRODUCT((危旧房屋改造项目分表!$B$6:$B$353=$E$3)*(危旧房屋改造项目分表!$AD$6:AD$353="是")*(危旧房屋改造项目分表!$O$6:$O$353="加面重建")*(危旧房屋改造项目分表!$V$6:$V$353&gt;=31%)*(危旧房屋改造项目分表!$V$6:$V$353&lt;=89%)*危旧房屋改造项目分表!$K$6:$K$353),"")</f>
        <v>0</v>
      </c>
      <c r="F45" s="130">
        <f>IFERROR(SUMPRODUCT((危旧房屋改造项目分表!$B$6:$B$353=$F$3)*(危旧房屋改造项目分表!$AD$6:AD$353="是")*(危旧房屋改造项目分表!$O$6:$O$353="加面重建")*(危旧房屋改造项目分表!$V$6:$V$353&gt;=31%)*(危旧房屋改造项目分表!$V$6:$V$353&lt;=89%)*危旧房屋改造项目分表!$K$6:$K$353),"")</f>
        <v>0</v>
      </c>
      <c r="G45" s="130">
        <f>IFERROR(SUMPRODUCT((危旧房屋改造项目分表!$B$6:$B$353=$G$3)*(危旧房屋改造项目分表!$AD$6:AD$353="是")*(危旧房屋改造项目分表!$O$6:$O$353="加面重建")*(危旧房屋改造项目分表!$V$6:$V$353&gt;=31%)*(危旧房屋改造项目分表!$V$6:$V$353&lt;=89%)*危旧房屋改造项目分表!$K$6:$K$353),"")</f>
        <v>0</v>
      </c>
      <c r="H45" s="130">
        <f>IFERROR(SUMPRODUCT((危旧房屋改造项目分表!$B$6:$B$353=$H$3)*(危旧房屋改造项目分表!$AD$6:AD$353="是")*(危旧房屋改造项目分表!$O$6:$O$353="加面重建")*(危旧房屋改造项目分表!$V$6:$V$353&gt;=31%)*(危旧房屋改造项目分表!$V$6:$V$353&lt;=89%)*危旧房屋改造项目分表!$K$6:$K$353),"")</f>
        <v>0</v>
      </c>
      <c r="I45" s="130">
        <f>IFERROR(SUMPRODUCT((危旧房屋改造项目分表!$B$6:$B$353=$I$3)*(危旧房屋改造项目分表!$AD$6:AD$353="是")*(危旧房屋改造项目分表!$O$6:$O$353="加面重建")*(危旧房屋改造项目分表!$V$6:$V$353&gt;=31%)*(危旧房屋改造项目分表!$V$6:$V$353&lt;=89%)*危旧房屋改造项目分表!$K$6:$K$353),"")</f>
        <v>0</v>
      </c>
      <c r="J45" s="130">
        <f>IFERROR(SUMPRODUCT((危旧房屋改造项目分表!$B$6:$B$353=$J$3)*(危旧房屋改造项目分表!$AD$6:AD$353="是")*(危旧房屋改造项目分表!$O$6:$O$353="加面重建")*(危旧房屋改造项目分表!$V$6:$V$353&gt;=31%)*(危旧房屋改造项目分表!$V$6:$V$353&lt;=89%)*危旧房屋改造项目分表!$K$6:$K$353),"")</f>
        <v>0</v>
      </c>
      <c r="K45" s="130">
        <f>IFERROR(SUMPRODUCT((危旧房屋改造项目分表!$B$6:$B$353=$K$3)*(危旧房屋改造项目分表!$AD$6:AD$353="是")*(危旧房屋改造项目分表!$O$6:$O$353="加面重建")*(危旧房屋改造项目分表!$V$6:$V$353&gt;=31%)*(危旧房屋改造项目分表!$V$6:$V$353&lt;=89%)*危旧房屋改造项目分表!$K$6:$K$353),"")</f>
        <v>0</v>
      </c>
      <c r="L45" s="130">
        <f>IFERROR(SUMPRODUCT((危旧房屋改造项目分表!$B$6:$B$353=$L$3)*(危旧房屋改造项目分表!$AD$6:AD$353="是")*(危旧房屋改造项目分表!$O$6:$O$353="加面重建")*(危旧房屋改造项目分表!$V$6:$V$353&gt;=31%)*(危旧房屋改造项目分表!$V$6:$V$353&lt;=89%)*危旧房屋改造项目分表!$K$6:$K$353),"")</f>
        <v>0</v>
      </c>
      <c r="M45" s="130">
        <f>SUM($D$45:$L$45)</f>
        <v>0</v>
      </c>
      <c r="N45" s="149" t="str">
        <f>IF(ISERROR(M45/$M$51),"",M45/$M$51)</f>
        <v/>
      </c>
    </row>
    <row r="46" ht="15" customHeight="1" spans="1:14">
      <c r="A46" s="137"/>
      <c r="B46" s="140"/>
      <c r="C46" s="129" t="s">
        <v>19</v>
      </c>
      <c r="D46" s="130">
        <f>IFERROR(SUMPRODUCT((危旧房屋改造项目分表!$B$6:$B$353=$D$3)*(危旧房屋改造项目分表!$AD$6:AD$353="是")*(危旧房屋改造项目分表!$O$6:$O$353="加面重建")*(危旧房屋改造项目分表!$V$6:$V$353&gt;=31%)*(危旧房屋改造项目分表!$V$6:$V$353&lt;=89%)*危旧房屋改造项目分表!$L$6:$L$353),"")</f>
        <v>0</v>
      </c>
      <c r="E46" s="130">
        <f>IFERROR(SUMPRODUCT((危旧房屋改造项目分表!$B$6:$B$353=$F$3)*(危旧房屋改造项目分表!$AD$6:AD$353="是")*(危旧房屋改造项目分表!$O$6:$O$353="加面重建")*(危旧房屋改造项目分表!$V$6:$V$353&gt;=31%)*(危旧房屋改造项目分表!$V$6:$V$353&lt;=89%)*危旧房屋改造项目分表!$L$6:$L$353),"")</f>
        <v>0</v>
      </c>
      <c r="F46" s="130">
        <f>IFERROR(SUMPRODUCT((危旧房屋改造项目分表!$B$6:$B$353=$F$3)*(危旧房屋改造项目分表!$AD$6:AD$353="是")*(危旧房屋改造项目分表!$O$6:$O$353="加面重建")*(危旧房屋改造项目分表!$V$6:$V$353&gt;=31%)*(危旧房屋改造项目分表!$V$6:$V$353&lt;=89%)*危旧房屋改造项目分表!$L$6:$L$353),"")</f>
        <v>0</v>
      </c>
      <c r="G46" s="130">
        <f>IFERROR(SUMPRODUCT((危旧房屋改造项目分表!$B$6:$B$353=$G$3)*(危旧房屋改造项目分表!$AD$6:AD$353="是")*(危旧房屋改造项目分表!$O$6:$O$353="加面重建")*(危旧房屋改造项目分表!$V$6:$V$353&gt;=31%)*(危旧房屋改造项目分表!$V$6:$V$353&lt;=89%)*危旧房屋改造项目分表!$L$6:$L$353),"")</f>
        <v>0</v>
      </c>
      <c r="H46" s="130">
        <f>IFERROR(SUMPRODUCT((危旧房屋改造项目分表!$B$6:$B$353=$H$3)*(危旧房屋改造项目分表!$AD$6:AD$353="是")*(危旧房屋改造项目分表!$O$6:$O$353="加面重建")*(危旧房屋改造项目分表!$V$6:$V$353&gt;=31%)*(危旧房屋改造项目分表!$V$6:$V$353&lt;=89%)*危旧房屋改造项目分表!$L$6:$L$353),"")</f>
        <v>0</v>
      </c>
      <c r="I46" s="130">
        <f>IFERROR(SUMPRODUCT((危旧房屋改造项目分表!$B$6:$B$353=$I$3)*(危旧房屋改造项目分表!$AD$6:AD$353="是")*(危旧房屋改造项目分表!$O$6:$O$353="加面重建")*(危旧房屋改造项目分表!$V$6:$V$353&gt;=31%)*(危旧房屋改造项目分表!$V$6:$V$353&lt;=89%)*危旧房屋改造项目分表!$L$6:$L$353),"")</f>
        <v>0</v>
      </c>
      <c r="J46" s="130">
        <f>IFERROR(SUMPRODUCT((危旧房屋改造项目分表!$B$6:$B$353=$J$3)*(危旧房屋改造项目分表!$AD$6:AD$353="是")*(危旧房屋改造项目分表!$O$6:$O$353="加面重建")*(危旧房屋改造项目分表!$V$6:$V$353&gt;=31%)*(危旧房屋改造项目分表!$V$6:$V$353&lt;=89%)*危旧房屋改造项目分表!$L$6:$L$353),"")</f>
        <v>0</v>
      </c>
      <c r="K46" s="130">
        <f>IFERROR(SUMPRODUCT((危旧房屋改造项目分表!$B$6:$B$353=$K$3)*(危旧房屋改造项目分表!$AD$6:AD$353="是")*(危旧房屋改造项目分表!$O$6:$O$353="加面重建")*(危旧房屋改造项目分表!$V$6:$V$353&gt;=31%)*(危旧房屋改造项目分表!$V$6:$V$353&lt;=89%)*危旧房屋改造项目分表!$L$6:$L$353),"")</f>
        <v>0</v>
      </c>
      <c r="L46" s="130">
        <f>IFERROR(SUMPRODUCT((危旧房屋改造项目分表!$B$6:$B$353=$L$3)*(危旧房屋改造项目分表!$AD$6:AD$353="是")*(危旧房屋改造项目分表!$O$6:$O$353="加面重建")*(危旧房屋改造项目分表!$V$6:$V$353&gt;=31%)*(危旧房屋改造项目分表!$V$6:$V$353&lt;=89%)*危旧房屋改造项目分表!$L$6:$L$353),"")</f>
        <v>0</v>
      </c>
      <c r="M46" s="130">
        <f>SUM($D$46:$L$46)</f>
        <v>0</v>
      </c>
      <c r="N46" s="149" t="str">
        <f>IF(ISERROR(M46/$M$52),"",M46/$M$52)</f>
        <v/>
      </c>
    </row>
    <row r="47" ht="15" customHeight="1" spans="1:14">
      <c r="A47" s="137"/>
      <c r="B47" s="140" t="s">
        <v>25</v>
      </c>
      <c r="C47" s="129" t="s">
        <v>17</v>
      </c>
      <c r="D47" s="130">
        <f>IFERROR(SUMPRODUCT((危旧房屋改造项目分表!$B$6:$B$353=$D$3)*(危旧房屋改造项目分表!$AD$6:AD$353="是")*(危旧房屋改造项目分表!$O$6:$O$353="加面重建")*(危旧房屋改造项目分表!$V$6:$V$353&gt;=90%)*危旧房屋改造项目分表!$AF$6:$AF$353),"")</f>
        <v>0</v>
      </c>
      <c r="E47" s="130">
        <f>IFERROR(SUMPRODUCT((危旧房屋改造项目分表!$B$6:$B$353=$E$3)*(危旧房屋改造项目分表!$AD$6:AD$353="是")*(危旧房屋改造项目分表!$O$6:$O$353="加面重建")*(危旧房屋改造项目分表!$V$6:$V$353&gt;=90%)*危旧房屋改造项目分表!$AF$6:$AF$353),"")</f>
        <v>0</v>
      </c>
      <c r="F47" s="130">
        <f>IFERROR(SUMPRODUCT((危旧房屋改造项目分表!$B$6:$B$353=$F$3)*(危旧房屋改造项目分表!$AD$6:AD$353="是")*(危旧房屋改造项目分表!$O$6:$O$353="加面重建")*(危旧房屋改造项目分表!$V$6:$V$353&gt;=90%)*危旧房屋改造项目分表!$AF$6:$AF$353),"")</f>
        <v>0</v>
      </c>
      <c r="G47" s="130">
        <f>IFERROR(SUMPRODUCT((危旧房屋改造项目分表!$B$6:$B$353=$G$3)*(危旧房屋改造项目分表!$AD$6:AD$353="是")*(危旧房屋改造项目分表!$O$6:$O$353="加面重建")*(危旧房屋改造项目分表!$V$6:$V$353&gt;=90%)*危旧房屋改造项目分表!$AF$6:$AF$353),"")</f>
        <v>0</v>
      </c>
      <c r="H47" s="130">
        <f>IFERROR(SUMPRODUCT((危旧房屋改造项目分表!$B$6:$B$353=$H$3)*(危旧房屋改造项目分表!$AD$6:AD$353="是")*(危旧房屋改造项目分表!$O$6:$O$353="加面重建")*(危旧房屋改造项目分表!$V$6:$V$353&gt;=90%)*危旧房屋改造项目分表!$AF$6:$AF$353),"")</f>
        <v>0</v>
      </c>
      <c r="I47" s="130">
        <f>IFERROR(SUMPRODUCT((危旧房屋改造项目分表!$B$6:$B$353=$I$3)*(危旧房屋改造项目分表!$AD$6:AD$353="是")*(危旧房屋改造项目分表!$O$6:$O$353="加面重建")*(危旧房屋改造项目分表!$V$6:$V$353&gt;=90%)*危旧房屋改造项目分表!$AF$6:$AF$353),"")</f>
        <v>0</v>
      </c>
      <c r="J47" s="130">
        <f>IFERROR(SUMPRODUCT((危旧房屋改造项目分表!$B$6:$B$353=$J$3)*(危旧房屋改造项目分表!$AD$6:AD$353="是")*(危旧房屋改造项目分表!$O$6:$O$353="加面重建")*(危旧房屋改造项目分表!$V$6:$V$353&gt;=90%)*危旧房屋改造项目分表!$AF$6:$AF$353),"")</f>
        <v>0</v>
      </c>
      <c r="K47" s="130">
        <f>IFERROR(SUMPRODUCT((危旧房屋改造项目分表!$B$6:$B$353=$K$3)*(危旧房屋改造项目分表!$AD$6:AD$353="是")*(危旧房屋改造项目分表!$O$6:$O$353="加面重建")*(危旧房屋改造项目分表!$V$6:$V$353&gt;=90%)*危旧房屋改造项目分表!$AF$6:$AF$353),"")</f>
        <v>0</v>
      </c>
      <c r="L47" s="130">
        <f>IFERROR(SUMPRODUCT((危旧房屋改造项目分表!$B$6:$B$353=$L$3)*(危旧房屋改造项目分表!$AD$6:AD$353="是")*(危旧房屋改造项目分表!$O$6:$O$353="加面重建")*(危旧房屋改造项目分表!$V$6:$V$353&gt;=90%)*危旧房屋改造项目分表!$AF$6:$AF$353),"")</f>
        <v>0</v>
      </c>
      <c r="M47" s="130">
        <f>SUM($D$47:$L$47)</f>
        <v>0</v>
      </c>
      <c r="N47" s="149" t="str">
        <f>IF(ISERROR(M47/$M$50),"",M47/$M$50)</f>
        <v/>
      </c>
    </row>
    <row r="48" ht="15" customHeight="1" spans="1:14">
      <c r="A48" s="137"/>
      <c r="B48" s="140"/>
      <c r="C48" s="129" t="s">
        <v>18</v>
      </c>
      <c r="D48" s="130">
        <f>IFERROR(SUMPRODUCT((危旧房屋改造项目分表!$B$6:$B$353=$D$3)*(危旧房屋改造项目分表!$AD$6:AD$353="是")*(危旧房屋改造项目分表!$O$6:$O$353="加面重建")*(危旧房屋改造项目分表!$V$6:$V$353&gt;=90%)*危旧房屋改造项目分表!$K$6:$K$353),"")</f>
        <v>0</v>
      </c>
      <c r="E48" s="130">
        <f>IFERROR(SUMPRODUCT((危旧房屋改造项目分表!$B$6:$B$353=$E$3)*(危旧房屋改造项目分表!$AD$6:AD$353="是")*(危旧房屋改造项目分表!$O$6:$O$353="加面重建")*(危旧房屋改造项目分表!$V$6:$V$353&gt;=90%)*危旧房屋改造项目分表!$K$6:$K$353),"")</f>
        <v>0</v>
      </c>
      <c r="F48" s="130">
        <f>IFERROR(SUMPRODUCT((危旧房屋改造项目分表!$B$6:$B$353=$F$3)*(危旧房屋改造项目分表!$AD$6:AD$353="是")*(危旧房屋改造项目分表!$O$6:$O$353="加面重建")*(危旧房屋改造项目分表!$V$6:$V$353&gt;=90%)*危旧房屋改造项目分表!$K$6:$K$353),"")</f>
        <v>0</v>
      </c>
      <c r="G48" s="130">
        <f>IFERROR(SUMPRODUCT((危旧房屋改造项目分表!$B$6:$B$353=$G$3)*(危旧房屋改造项目分表!$AD$6:AD$353="是")*(危旧房屋改造项目分表!$O$6:$O$353="加面重建")*(危旧房屋改造项目分表!$V$6:$V$353&gt;=90%)*危旧房屋改造项目分表!$K$6:$K$353),"")</f>
        <v>0</v>
      </c>
      <c r="H48" s="130">
        <f>IFERROR(SUMPRODUCT((危旧房屋改造项目分表!$B$6:$B$353=$H$3)*(危旧房屋改造项目分表!$AD$6:AD$353="是")*(危旧房屋改造项目分表!$O$6:$O$353="加面重建")*(危旧房屋改造项目分表!$V$6:$V$353&gt;=90%)*危旧房屋改造项目分表!$K$6:$K$353),"")</f>
        <v>0</v>
      </c>
      <c r="I48" s="130">
        <f>IFERROR(SUMPRODUCT((危旧房屋改造项目分表!$B$6:$B$353=$I$3)*(危旧房屋改造项目分表!$AD$6:AD$353="是")*(危旧房屋改造项目分表!$O$6:$O$353="加面重建")*(危旧房屋改造项目分表!$V$6:$V$353&gt;=90%)*危旧房屋改造项目分表!$K$6:$K$353),"")</f>
        <v>0</v>
      </c>
      <c r="J48" s="130">
        <f>IFERROR(SUMPRODUCT((危旧房屋改造项目分表!$B$6:$B$353=$J$3)*(危旧房屋改造项目分表!$AD$6:AD$353="是")*(危旧房屋改造项目分表!$O$6:$O$353="加面重建")*(危旧房屋改造项目分表!$V$6:$V$353&gt;=90%)*危旧房屋改造项目分表!$K$6:$K$353),"")</f>
        <v>0</v>
      </c>
      <c r="K48" s="130">
        <f>IFERROR(SUMPRODUCT((危旧房屋改造项目分表!$B$6:$B$353=$K$3)*(危旧房屋改造项目分表!$AD$6:AD$353="是")*(危旧房屋改造项目分表!$O$6:$O$353="加面重建")*(危旧房屋改造项目分表!$V$6:$V$353&gt;=90%)*危旧房屋改造项目分表!$K$6:$K$353),"")</f>
        <v>0</v>
      </c>
      <c r="L48" s="130">
        <f>IFERROR(SUMPRODUCT((危旧房屋改造项目分表!$B$6:$B$353=$L$3)*(危旧房屋改造项目分表!$AD$6:AD$353="是")*(危旧房屋改造项目分表!$O$6:$O$353="加面重建")*(危旧房屋改造项目分表!$V$6:$V$353&gt;=90%)*危旧房屋改造项目分表!$K$6:$K$353),"")</f>
        <v>0</v>
      </c>
      <c r="M48" s="130">
        <f>SUM($D$48:$L$48)</f>
        <v>0</v>
      </c>
      <c r="N48" s="149" t="str">
        <f>IF(ISERROR(M48/$M$51),"",M48/$M$51)</f>
        <v/>
      </c>
    </row>
    <row r="49" ht="15" customHeight="1" spans="1:14">
      <c r="A49" s="137"/>
      <c r="B49" s="140"/>
      <c r="C49" s="129" t="s">
        <v>19</v>
      </c>
      <c r="D49" s="130">
        <f>IFERROR(SUMPRODUCT((危旧房屋改造项目分表!$B$6:$B$353=$D$3)*(危旧房屋改造项目分表!$AD$6:AD$353="是")*(危旧房屋改造项目分表!$O$6:$O$353="加面重建")*(危旧房屋改造项目分表!$V$6:$V$353&gt;=90%)*危旧房屋改造项目分表!$L$6:$L$353),"")</f>
        <v>0</v>
      </c>
      <c r="E49" s="130">
        <f>IFERROR(SUMPRODUCT((危旧房屋改造项目分表!$B$6:$B$353=$E$3)*(危旧房屋改造项目分表!$AD$6:AD$353="是")*(危旧房屋改造项目分表!$O$6:$O$353="加面重建")*(危旧房屋改造项目分表!$V$6:$V$353&gt;=90%)*危旧房屋改造项目分表!$L$6:$L$353),"")</f>
        <v>0</v>
      </c>
      <c r="F49" s="130">
        <f>IFERROR(SUMPRODUCT((危旧房屋改造项目分表!$B$6:$B$353=$F$3)*(危旧房屋改造项目分表!$AD$6:AD$353="是")*(危旧房屋改造项目分表!$O$6:$O$353="加面重建")*(危旧房屋改造项目分表!$V$6:$V$353&gt;=90%)*危旧房屋改造项目分表!$L$6:$L$353),"")</f>
        <v>0</v>
      </c>
      <c r="G49" s="130">
        <f>IFERROR(SUMPRODUCT((危旧房屋改造项目分表!$B$6:$B$353=$G$3)*(危旧房屋改造项目分表!$AD$6:AD$353="是")*(危旧房屋改造项目分表!$O$6:$O$353="加面重建")*(危旧房屋改造项目分表!$V$6:$V$353&gt;=90%)*危旧房屋改造项目分表!$L$6:$L$353),"")</f>
        <v>0</v>
      </c>
      <c r="H49" s="130">
        <f>IFERROR(SUMPRODUCT((危旧房屋改造项目分表!$B$6:$B$353=$H$3)*(危旧房屋改造项目分表!$AD$6:AD$353="是")*(危旧房屋改造项目分表!$O$6:$O$353="加面重建")*(危旧房屋改造项目分表!$V$6:$V$353&gt;=90%)*危旧房屋改造项目分表!$L$6:$L$353),"")</f>
        <v>0</v>
      </c>
      <c r="I49" s="130">
        <f>IFERROR(SUMPRODUCT((危旧房屋改造项目分表!$B$6:$B$353=$I$3)*(危旧房屋改造项目分表!$AD$6:AD$353="是")*(危旧房屋改造项目分表!$O$6:$O$353="加面重建")*(危旧房屋改造项目分表!$V$6:$V$353&gt;=90%)*危旧房屋改造项目分表!$L$6:$L$353),"")</f>
        <v>0</v>
      </c>
      <c r="J49" s="130">
        <f>IFERROR(SUMPRODUCT((危旧房屋改造项目分表!$B$6:$B$353=$J$3)*(危旧房屋改造项目分表!$AD$6:AD$353="是")*(危旧房屋改造项目分表!$O$6:$O$353="加面重建")*(危旧房屋改造项目分表!$V$6:$V$353&gt;=90%)*危旧房屋改造项目分表!$L$6:$L$353),"")</f>
        <v>0</v>
      </c>
      <c r="K49" s="130">
        <f>IFERROR(SUMPRODUCT((危旧房屋改造项目分表!$B$6:$B$353=$K$3)*(危旧房屋改造项目分表!$AD$6:AD$353="是")*(危旧房屋改造项目分表!$O$6:$O$353="加面重建")*(危旧房屋改造项目分表!$V$6:$V$353&gt;=90%)*危旧房屋改造项目分表!$L$6:$L$353),"")</f>
        <v>0</v>
      </c>
      <c r="L49" s="130">
        <f>IFERROR(SUMPRODUCT((危旧房屋改造项目分表!$B$6:$B$353=$L$3)*(危旧房屋改造项目分表!$AD$6:AD$353="是")*(危旧房屋改造项目分表!$O$6:$O$353="加面重建")*(危旧房屋改造项目分表!$V$6:$V$353&gt;=90%)*危旧房屋改造项目分表!$L$6:$L$353),"")</f>
        <v>0</v>
      </c>
      <c r="M49" s="130">
        <f>SUM($D$49:$L$49)</f>
        <v>0</v>
      </c>
      <c r="N49" s="149" t="str">
        <f>IF(ISERROR(M49/$M$52),"",M49/$M$52)</f>
        <v/>
      </c>
    </row>
    <row r="50" ht="15" customHeight="1" spans="1:14">
      <c r="A50" s="137"/>
      <c r="B50" s="129" t="s">
        <v>26</v>
      </c>
      <c r="C50" s="129" t="s">
        <v>17</v>
      </c>
      <c r="D50" s="141">
        <f t="shared" ref="D50:L50" si="7">D41+D44+D47+D38</f>
        <v>0</v>
      </c>
      <c r="E50" s="141">
        <f t="shared" si="7"/>
        <v>0</v>
      </c>
      <c r="F50" s="141">
        <f t="shared" si="7"/>
        <v>0</v>
      </c>
      <c r="G50" s="141">
        <f t="shared" si="7"/>
        <v>0</v>
      </c>
      <c r="H50" s="141">
        <f t="shared" si="7"/>
        <v>0</v>
      </c>
      <c r="I50" s="141">
        <f t="shared" si="7"/>
        <v>0</v>
      </c>
      <c r="J50" s="141">
        <f t="shared" si="7"/>
        <v>0</v>
      </c>
      <c r="K50" s="141">
        <f t="shared" si="7"/>
        <v>0</v>
      </c>
      <c r="L50" s="141">
        <f t="shared" si="7"/>
        <v>0</v>
      </c>
      <c r="M50" s="130">
        <f>SUM($D$50:$L$50)</f>
        <v>0</v>
      </c>
      <c r="N50" s="149" t="str">
        <f>IF(ISERROR(M50/$M$4),"",M50/$M$4)</f>
        <v/>
      </c>
    </row>
    <row r="51" ht="15" customHeight="1" spans="1:14">
      <c r="A51" s="137"/>
      <c r="B51" s="129"/>
      <c r="C51" s="129" t="s">
        <v>18</v>
      </c>
      <c r="D51" s="141">
        <f t="shared" ref="D51:L51" si="8">D42+D45+D48+D39</f>
        <v>0</v>
      </c>
      <c r="E51" s="141">
        <f t="shared" si="8"/>
        <v>0</v>
      </c>
      <c r="F51" s="141">
        <f t="shared" si="8"/>
        <v>0</v>
      </c>
      <c r="G51" s="141">
        <f t="shared" si="8"/>
        <v>0</v>
      </c>
      <c r="H51" s="141">
        <f t="shared" si="8"/>
        <v>0</v>
      </c>
      <c r="I51" s="141">
        <f t="shared" si="8"/>
        <v>0</v>
      </c>
      <c r="J51" s="141">
        <f t="shared" si="8"/>
        <v>0</v>
      </c>
      <c r="K51" s="141">
        <f t="shared" si="8"/>
        <v>0</v>
      </c>
      <c r="L51" s="141">
        <f t="shared" si="8"/>
        <v>0</v>
      </c>
      <c r="M51" s="130">
        <f>SUM($D$51:$L$51)</f>
        <v>0</v>
      </c>
      <c r="N51" s="149" t="str">
        <f>IF(ISERROR(M51/$M$5),"",M51/$M$5)</f>
        <v/>
      </c>
    </row>
    <row r="52" ht="15" customHeight="1" spans="1:14">
      <c r="A52" s="142"/>
      <c r="B52" s="129"/>
      <c r="C52" s="129" t="s">
        <v>19</v>
      </c>
      <c r="D52" s="141">
        <f t="shared" ref="D52:L52" si="9">D43+D46+D49+D40</f>
        <v>0</v>
      </c>
      <c r="E52" s="141">
        <f t="shared" si="9"/>
        <v>0</v>
      </c>
      <c r="F52" s="141">
        <f t="shared" si="9"/>
        <v>0</v>
      </c>
      <c r="G52" s="141">
        <f t="shared" si="9"/>
        <v>0</v>
      </c>
      <c r="H52" s="141">
        <f t="shared" si="9"/>
        <v>0</v>
      </c>
      <c r="I52" s="141">
        <f t="shared" si="9"/>
        <v>0</v>
      </c>
      <c r="J52" s="141">
        <f t="shared" si="9"/>
        <v>0</v>
      </c>
      <c r="K52" s="141">
        <f t="shared" si="9"/>
        <v>0</v>
      </c>
      <c r="L52" s="141">
        <f t="shared" si="9"/>
        <v>0</v>
      </c>
      <c r="M52" s="130">
        <f>SUM($D$52:$L$52)</f>
        <v>0</v>
      </c>
      <c r="N52" s="149" t="str">
        <f>IF(ISERROR(M52/$M$6),"",M52/$M$6)</f>
        <v/>
      </c>
    </row>
    <row r="53" ht="15.6" customHeight="1" spans="1:14">
      <c r="A53" s="144" t="s">
        <v>29</v>
      </c>
      <c r="B53" s="140" t="s">
        <v>22</v>
      </c>
      <c r="C53" s="129" t="s">
        <v>17</v>
      </c>
      <c r="D53" s="130">
        <f>IFERROR(SUMPRODUCT((危旧房屋改造项目分表!$B$6:$B$353=$D$3)*(危旧房屋改造项目分表!$AD$6:AD$353="是")*(危旧房屋改造项目分表!$O$6:$O$353="棚改征收")*(危旧房屋改造项目分表!$V$6:$V$353&lt;=10%)*危旧房屋改造项目分表!$AF$6:$AF$353),"")+SUMPRODUCT((危旧房屋改造项目分表!$B$6:$B$353=$D$3)*(危旧房屋改造项目分表!$AD$6:AD$353="是")*(危旧房屋改造项目分表!$O$6:$O$353="拆除补偿")*(危旧房屋改造项目分表!$V$6:$V$353&lt;=10%)*危旧房屋改造项目分表!$AF$6:$AF$353)</f>
        <v>0</v>
      </c>
      <c r="E53" s="130">
        <f>IFERROR(SUMPRODUCT((危旧房屋改造项目分表!$B$6:$B$353=$E$3)*(危旧房屋改造项目分表!$AD$6:AD$353="是")*(危旧房屋改造项目分表!$O$6:$O$353="棚改征收")*(危旧房屋改造项目分表!$V$6:$V$353&lt;=10%)*危旧房屋改造项目分表!$AF$6:$AF$353),"")+SUMPRODUCT((危旧房屋改造项目分表!$B$6:$B$353=$E$3)*(危旧房屋改造项目分表!$AD$6:AD$353="是")*(危旧房屋改造项目分表!$O$6:$O$353="拆除补偿")*(危旧房屋改造项目分表!$V$6:$V$353&lt;=10%)*危旧房屋改造项目分表!$AF$6:$AF$353)</f>
        <v>0</v>
      </c>
      <c r="F53" s="130">
        <f>IFERROR(SUMPRODUCT((危旧房屋改造项目分表!$B$6:$B$353=$F$3)*(危旧房屋改造项目分表!$AD$6:AD$353="是")*(危旧房屋改造项目分表!$O$6:$O$353="棚改征收")*(危旧房屋改造项目分表!$V$6:$V$353&lt;=10%)*危旧房屋改造项目分表!$AF$6:$AF$353),"")+SUMPRODUCT((危旧房屋改造项目分表!$B$6:$B$353=$F$3)*(危旧房屋改造项目分表!$AD$6:AD$353="是")*(危旧房屋改造项目分表!$O$6:$O$353="拆除补偿")*(危旧房屋改造项目分表!$V$6:$V$353&lt;=10%)*危旧房屋改造项目分表!$AF$6:$AF$353)</f>
        <v>0</v>
      </c>
      <c r="G53" s="130">
        <f>IFERROR(SUMPRODUCT((危旧房屋改造项目分表!$B$6:$B$353=$G$3)*(危旧房屋改造项目分表!$AD$6:AD$353="是")*(危旧房屋改造项目分表!$O$6:$O$353="棚改征收")*(危旧房屋改造项目分表!$V$6:$V$353&lt;=10%)*危旧房屋改造项目分表!$AF$6:$AF$353),"")+SUMPRODUCT((危旧房屋改造项目分表!$B$6:$B$353=$G$3)*(危旧房屋改造项目分表!$AD$6:AD$353="是")*(危旧房屋改造项目分表!$O$6:$O$353="拆除补偿")*(危旧房屋改造项目分表!$V$6:$V$353&lt;=10%)*危旧房屋改造项目分表!$AF$6:$AF$353)</f>
        <v>0</v>
      </c>
      <c r="H53" s="130">
        <f>IFERROR(SUMPRODUCT((危旧房屋改造项目分表!$B$6:$B$353=$H$3)*(危旧房屋改造项目分表!$AD$6:AD$353="是")*(危旧房屋改造项目分表!$O$6:$O$353="棚改征收")*(危旧房屋改造项目分表!$V$6:$V$353&lt;=10%)*危旧房屋改造项目分表!$AF$6:$AF$353),"")+SUMPRODUCT((危旧房屋改造项目分表!$B$6:$B$353=$H$3)*(危旧房屋改造项目分表!$AD$6:AD$353="是")*(危旧房屋改造项目分表!$O$6:$O$353="拆除补偿")*(危旧房屋改造项目分表!$V$6:$V$353&lt;=10%)*危旧房屋改造项目分表!$AF$6:$AF$353)</f>
        <v>0</v>
      </c>
      <c r="I53" s="130">
        <f>IFERROR(SUMPRODUCT((危旧房屋改造项目分表!$B$6:$B$353=$I$3)*(危旧房屋改造项目分表!$AD$6:AD$353="是")*(危旧房屋改造项目分表!$O$6:$O$353="棚改征收")*(危旧房屋改造项目分表!$V$6:$V$353&lt;=10%)*危旧房屋改造项目分表!$AF$6:$AF$353),"")+SUMPRODUCT((危旧房屋改造项目分表!$B$6:$B$353=$I$3)*(危旧房屋改造项目分表!$AD$6:AD$353="是")*(危旧房屋改造项目分表!$O$6:$O$353="拆除补偿")*(危旧房屋改造项目分表!$V$6:$V$353&lt;=10%)*危旧房屋改造项目分表!$AF$6:$AF$353)</f>
        <v>0</v>
      </c>
      <c r="J53" s="130">
        <f>IFERROR(SUMPRODUCT((危旧房屋改造项目分表!$B$6:$B$353=$J$3)*(危旧房屋改造项目分表!$AD$6:AD$353="是")*(危旧房屋改造项目分表!$O$6:$O$353="棚改征收")*(危旧房屋改造项目分表!$V$6:$V$353&lt;=10%)*危旧房屋改造项目分表!$AF$6:$AF$353),"")+SUMPRODUCT((危旧房屋改造项目分表!$B$6:$B$353=$J$3)*(危旧房屋改造项目分表!$AD$6:AD$353="是")*(危旧房屋改造项目分表!$O$6:$O$353="拆除补偿")*(危旧房屋改造项目分表!$V$6:$V$353&lt;=10%)*危旧房屋改造项目分表!$AF$6:$AF$353)</f>
        <v>0</v>
      </c>
      <c r="K53" s="130">
        <f>IFERROR(SUMPRODUCT((危旧房屋改造项目分表!$B$6:$B$353=$K$3)*(危旧房屋改造项目分表!$AD$6:AD$353="是")*(危旧房屋改造项目分表!$O$6:$O$353="棚改征收")*(危旧房屋改造项目分表!$V$6:$V$353&lt;=10%)*危旧房屋改造项目分表!$AF$6:$AF$353),"")+SUMPRODUCT((危旧房屋改造项目分表!$B$6:$B$353=$K$3)*(危旧房屋改造项目分表!$AD$6:AD$353="是")*(危旧房屋改造项目分表!$O$6:$O$353="拆除补偿")*(危旧房屋改造项目分表!$V$6:$V$353&lt;=10%)*危旧房屋改造项目分表!$AF$6:$AF$353)</f>
        <v>0</v>
      </c>
      <c r="L53" s="130">
        <f>IFERROR(SUMPRODUCT((危旧房屋改造项目分表!$B$6:$B$353=$L$3)*(危旧房屋改造项目分表!$AD$6:AD$353="是")*(危旧房屋改造项目分表!$O$6:$O$353="棚改征收")*(危旧房屋改造项目分表!$V$6:$V$353&lt;=10%)*危旧房屋改造项目分表!$AF$6:$AF$353),"")+SUMPRODUCT((危旧房屋改造项目分表!$B$6:$B$353=$L$3)*(危旧房屋改造项目分表!$AD$6:AD$353="是")*(危旧房屋改造项目分表!$O$6:$O$353="拆除补偿")*(危旧房屋改造项目分表!$V$6:$V$353&lt;=10%)*危旧房屋改造项目分表!$AF$6:$AF$353)</f>
        <v>0</v>
      </c>
      <c r="M53" s="130">
        <f>SUM($D$53:$L$53)</f>
        <v>0</v>
      </c>
      <c r="N53" s="149" t="str">
        <f>IF(ISERROR(M53/$M$65),"",M53/$M$65)</f>
        <v/>
      </c>
    </row>
    <row r="54" ht="15.6" customHeight="1" spans="1:14">
      <c r="A54" s="145"/>
      <c r="B54" s="140"/>
      <c r="C54" s="129" t="s">
        <v>18</v>
      </c>
      <c r="D54" s="130">
        <f>IFERROR(SUMPRODUCT((危旧房屋改造项目分表!$B$6:$B$353=$D$3)*(危旧房屋改造项目分表!$AD$6:AD$353="是")*(危旧房屋改造项目分表!$O$6:$O$353="棚改征收")*(危旧房屋改造项目分表!$V$6:$V$353&lt;=10%)*危旧房屋改造项目分表!$K$6:$K$353),"")+SUMPRODUCT((危旧房屋改造项目分表!$B$6:$B$353=$D$3)*(危旧房屋改造项目分表!$AD$6:AD$353="是")*(危旧房屋改造项目分表!$O$6:$O$353="拆除补偿")*(危旧房屋改造项目分表!$V$6:$V$353&lt;=10%)*危旧房屋改造项目分表!$K$6:$K$353)</f>
        <v>0</v>
      </c>
      <c r="E54" s="130">
        <f>IFERROR(SUMPRODUCT((危旧房屋改造项目分表!$B$6:$B$353=$E$3)*(危旧房屋改造项目分表!$AD$6:AD$353="是")*(危旧房屋改造项目分表!$O$6:$O$353="棚改征收")*(危旧房屋改造项目分表!$V$6:$V$353&lt;=10%)*危旧房屋改造项目分表!$K$6:$K$353),"")+SUMPRODUCT((危旧房屋改造项目分表!$B$6:$B$353=$E$3)*(危旧房屋改造项目分表!$AD$6:AD$353="是")*(危旧房屋改造项目分表!$O$6:$O$353="拆除补偿")*(危旧房屋改造项目分表!$V$6:$V$353&lt;=10%)*危旧房屋改造项目分表!$K$6:$K$353)</f>
        <v>0</v>
      </c>
      <c r="F54" s="130">
        <f>IFERROR(SUMPRODUCT((危旧房屋改造项目分表!$B$6:$B$353=$F$3)*(危旧房屋改造项目分表!$AD$6:AD$353="是")*(危旧房屋改造项目分表!$O$6:$O$353="棚改征收")*(危旧房屋改造项目分表!$V$6:$V$353&lt;=10%)*危旧房屋改造项目分表!$K$6:$K$353),"")+SUMPRODUCT((危旧房屋改造项目分表!$B$6:$B$353=$F$3)*(危旧房屋改造项目分表!$AD$6:AD$353="是")*(危旧房屋改造项目分表!$O$6:$O$353="拆除补偿")*(危旧房屋改造项目分表!$V$6:$V$353&lt;=10%)*危旧房屋改造项目分表!$K$6:$K$353)</f>
        <v>0</v>
      </c>
      <c r="G54" s="130">
        <f>IFERROR(SUMPRODUCT((危旧房屋改造项目分表!$B$6:$B$353=$G$3)*(危旧房屋改造项目分表!$AD$6:AD$353="是")*(危旧房屋改造项目分表!$O$6:$O$353="棚改征收")*(危旧房屋改造项目分表!$V$6:$V$353&lt;=10%)*危旧房屋改造项目分表!$K$6:$K$353),"")+SUMPRODUCT((危旧房屋改造项目分表!$B$6:$B$353=$G$3)*(危旧房屋改造项目分表!$AD$6:AD$353="是")*(危旧房屋改造项目分表!$O$6:$O$353="拆除补偿")*(危旧房屋改造项目分表!$V$6:$V$353&lt;=10%)*危旧房屋改造项目分表!$K$6:$K$353)</f>
        <v>0</v>
      </c>
      <c r="H54" s="130">
        <f>IFERROR(SUMPRODUCT((危旧房屋改造项目分表!$B$6:$B$353=$H$3)*(危旧房屋改造项目分表!$AD$6:AD$353="是")*(危旧房屋改造项目分表!$O$6:$O$353="棚改征收")*(危旧房屋改造项目分表!$V$6:$V$353&lt;=10%)*危旧房屋改造项目分表!$K$6:$K$353),"")+SUMPRODUCT((危旧房屋改造项目分表!$B$6:$B$353=$H$3)*(危旧房屋改造项目分表!$AD$6:AD$353="是")*(危旧房屋改造项目分表!$O$6:$O$353="拆除补偿")*(危旧房屋改造项目分表!$V$6:$V$353&lt;=10%)*危旧房屋改造项目分表!$K$6:$K$353)</f>
        <v>0</v>
      </c>
      <c r="I54" s="130">
        <f>IFERROR(SUMPRODUCT((危旧房屋改造项目分表!$B$6:$B$353=$I$3)*(危旧房屋改造项目分表!$AD$6:AD$353="是")*(危旧房屋改造项目分表!$O$6:$O$353="棚改征收")*(危旧房屋改造项目分表!$V$6:$V$353&lt;=10%)*危旧房屋改造项目分表!$K$6:$K$353),"")+SUMPRODUCT((危旧房屋改造项目分表!$B$6:$B$353=$I$3)*(危旧房屋改造项目分表!$AD$6:AD$353="是")*(危旧房屋改造项目分表!$O$6:$O$353="拆除补偿")*(危旧房屋改造项目分表!$V$6:$V$353&lt;=10%)*危旧房屋改造项目分表!$K$6:$K$353)</f>
        <v>0</v>
      </c>
      <c r="J54" s="130">
        <f>IFERROR(SUMPRODUCT((危旧房屋改造项目分表!$B$6:$B$353=$J$3)*(危旧房屋改造项目分表!$AD$6:AD$353="是")*(危旧房屋改造项目分表!$O$6:$O$353="棚改征收")*(危旧房屋改造项目分表!$V$6:$V$353&lt;=10%)*危旧房屋改造项目分表!$K$6:$K$353),"")+SUMPRODUCT((危旧房屋改造项目分表!$B$6:$B$353=$J$3)*(危旧房屋改造项目分表!$AD$6:AD$353="是")*(危旧房屋改造项目分表!$O$6:$O$353="拆除补偿")*(危旧房屋改造项目分表!$V$6:$V$353&lt;=10%)*危旧房屋改造项目分表!$K$6:$K$353)</f>
        <v>0</v>
      </c>
      <c r="K54" s="130">
        <f>IFERROR(SUMPRODUCT((危旧房屋改造项目分表!$B$6:$B$353=$K$3)*(危旧房屋改造项目分表!$AD$6:AD$353="是")*(危旧房屋改造项目分表!$O$6:$O$353="棚改征收")*(危旧房屋改造项目分表!$V$6:$V$353&lt;=10%)*危旧房屋改造项目分表!$K$6:$K$353),"")+SUMPRODUCT((危旧房屋改造项目分表!$B$6:$B$353=$K$3)*(危旧房屋改造项目分表!$AD$6:AD$353="是")*(危旧房屋改造项目分表!$O$6:$O$353="拆除补偿")*(危旧房屋改造项目分表!$V$6:$V$353&lt;=10%)*危旧房屋改造项目分表!$K$6:$K$353)</f>
        <v>0</v>
      </c>
      <c r="L54" s="130">
        <f>IFERROR(SUMPRODUCT((危旧房屋改造项目分表!$B$6:$B$353=$L$3)*(危旧房屋改造项目分表!$AD$6:AD$353="是")*(危旧房屋改造项目分表!$O$6:$O$353="棚改征收")*(危旧房屋改造项目分表!$V$6:$V$353&lt;=10%)*危旧房屋改造项目分表!$K$6:$K$353),"")+SUMPRODUCT((危旧房屋改造项目分表!$B$6:$B$353=$L$3)*(危旧房屋改造项目分表!$AD$6:AD$353="是")*(危旧房屋改造项目分表!$O$6:$O$353="拆除补偿")*(危旧房屋改造项目分表!$V$6:$V$353&lt;=10%)*危旧房屋改造项目分表!$K$6:$K$353)</f>
        <v>0</v>
      </c>
      <c r="M54" s="130">
        <f>SUM($D$54:$L$54)</f>
        <v>0</v>
      </c>
      <c r="N54" s="149" t="str">
        <f>IF(ISERROR(M54/$M$66),"",M54/$M$66)</f>
        <v/>
      </c>
    </row>
    <row r="55" ht="15.6" customHeight="1" spans="1:14">
      <c r="A55" s="145"/>
      <c r="B55" s="140"/>
      <c r="C55" s="129" t="s">
        <v>19</v>
      </c>
      <c r="D55" s="130">
        <f>IFERROR(SUMPRODUCT((危旧房屋改造项目分表!$B$6:$B$353=$D$3)*(危旧房屋改造项目分表!$AD$6:AD$353="是")*(危旧房屋改造项目分表!$O$6:$O$353="棚改征收")*(危旧房屋改造项目分表!$V$6:$V$353&lt;=10%)*危旧房屋改造项目分表!$L$6:$L$353),"")+SUMPRODUCT((危旧房屋改造项目分表!$B$6:$B$353=$D$3)*(危旧房屋改造项目分表!$AD$6:AD$353="是")*(危旧房屋改造项目分表!$O$6:$O$353="拆除补偿")*(危旧房屋改造项目分表!$V$6:$V$353&lt;=10%)*危旧房屋改造项目分表!$L$6:$L$353)</f>
        <v>0</v>
      </c>
      <c r="E55" s="130">
        <f>IFERROR(SUMPRODUCT((危旧房屋改造项目分表!$B$6:$B$353=$E$3)*(危旧房屋改造项目分表!$AD$6:AD$353="是")*(危旧房屋改造项目分表!$O$6:$O$353="棚改征收")*(危旧房屋改造项目分表!$V$6:$V$353&lt;=10%)*危旧房屋改造项目分表!$L$6:$L$353),"")+SUMPRODUCT((危旧房屋改造项目分表!$B$6:$B$353=$E$3)*(危旧房屋改造项目分表!$AD$6:AD$353="是")*(危旧房屋改造项目分表!$O$6:$O$353="拆除补偿")*(危旧房屋改造项目分表!$V$6:$V$353&lt;=10%)*危旧房屋改造项目分表!$L$6:$L$353)</f>
        <v>0</v>
      </c>
      <c r="F55" s="130">
        <f>IFERROR(SUMPRODUCT((危旧房屋改造项目分表!$B$6:$B$353=$F$3)*(危旧房屋改造项目分表!$AD$6:AD$353="是")*(危旧房屋改造项目分表!$O$6:$O$353="棚改征收")*(危旧房屋改造项目分表!$V$6:$V$353&lt;=10%)*危旧房屋改造项目分表!$L$6:$L$353),"")+SUMPRODUCT((危旧房屋改造项目分表!$B$6:$B$353=$F$3)*(危旧房屋改造项目分表!$AD$6:AD$353="是")*(危旧房屋改造项目分表!$O$6:$O$353="拆除补偿")*(危旧房屋改造项目分表!$V$6:$V$353&lt;=10%)*危旧房屋改造项目分表!$L$6:$L$353)</f>
        <v>0</v>
      </c>
      <c r="G55" s="130">
        <f>IFERROR(SUMPRODUCT((危旧房屋改造项目分表!$B$6:$B$353=$G$3)*(危旧房屋改造项目分表!$AD$6:AD$353="是")*(危旧房屋改造项目分表!$O$6:$O$353="棚改征收")*(危旧房屋改造项目分表!$V$6:$V$353&lt;=10%)*危旧房屋改造项目分表!$L$6:$L$353),"")+SUMPRODUCT((危旧房屋改造项目分表!$B$6:$B$353=$G$3)*(危旧房屋改造项目分表!$AD$6:AD$353="是")*(危旧房屋改造项目分表!$O$6:$O$353="拆除补偿")*(危旧房屋改造项目分表!$V$6:$V$353&lt;=10%)*危旧房屋改造项目分表!$L$6:$L$353)</f>
        <v>0</v>
      </c>
      <c r="H55" s="130">
        <f>IFERROR(SUMPRODUCT((危旧房屋改造项目分表!$B$6:$B$353=$H$3)*(危旧房屋改造项目分表!$AD$6:AD$353="是")*(危旧房屋改造项目分表!$O$6:$O$353="棚改征收")*(危旧房屋改造项目分表!$V$6:$V$353&lt;=10%)*危旧房屋改造项目分表!$L$6:$L$353),"")+SUMPRODUCT((危旧房屋改造项目分表!$B$6:$B$353=$H$3)*(危旧房屋改造项目分表!$AD$6:AD$353="是")*(危旧房屋改造项目分表!$O$6:$O$353="拆除补偿")*(危旧房屋改造项目分表!$V$6:$V$353&lt;=10%)*危旧房屋改造项目分表!$L$6:$L$353)</f>
        <v>0</v>
      </c>
      <c r="I55" s="130">
        <f>IFERROR(SUMPRODUCT((危旧房屋改造项目分表!$B$6:$B$353=$I$3)*(危旧房屋改造项目分表!$AD$6:AD$353="是")*(危旧房屋改造项目分表!$O$6:$O$353="棚改征收")*(危旧房屋改造项目分表!$V$6:$V$353&lt;=10%)*危旧房屋改造项目分表!$L$6:$L$353),"")+SUMPRODUCT((危旧房屋改造项目分表!$B$6:$B$353=$I$3)*(危旧房屋改造项目分表!$AD$6:AD$353="是")*(危旧房屋改造项目分表!$O$6:$O$353="拆除补偿")*(危旧房屋改造项目分表!$V$6:$V$353&lt;=10%)*危旧房屋改造项目分表!$L$6:$L$353)</f>
        <v>0</v>
      </c>
      <c r="J55" s="130">
        <f>IFERROR(SUMPRODUCT((危旧房屋改造项目分表!$B$6:$B$353=$J$3)*(危旧房屋改造项目分表!$AD$6:AD$353="是")*(危旧房屋改造项目分表!$O$6:$O$353="棚改征收")*(危旧房屋改造项目分表!$V$6:$V$353&lt;=10%)*危旧房屋改造项目分表!$L$6:$L$353),"")+SUMPRODUCT((危旧房屋改造项目分表!$B$6:$B$353=$J$3)*(危旧房屋改造项目分表!$AD$6:AD$353="是")*(危旧房屋改造项目分表!$O$6:$O$353="拆除补偿")*(危旧房屋改造项目分表!$V$6:$V$353&lt;=10%)*危旧房屋改造项目分表!$L$6:$L$353)</f>
        <v>0</v>
      </c>
      <c r="K55" s="130">
        <f>IFERROR(SUMPRODUCT((危旧房屋改造项目分表!$B$6:$B$353=$K$3)*(危旧房屋改造项目分表!$AD$6:AD$353="是")*(危旧房屋改造项目分表!$O$6:$O$353="棚改征收")*(危旧房屋改造项目分表!$V$6:$V$353&lt;=10%)*危旧房屋改造项目分表!$L$6:$L$353),"")+SUMPRODUCT((危旧房屋改造项目分表!$B$6:$B$353=$K$3)*(危旧房屋改造项目分表!$AD$6:AD$353="是")*(危旧房屋改造项目分表!$O$6:$O$353="拆除补偿")*(危旧房屋改造项目分表!$V$6:$V$353&lt;=10%)*危旧房屋改造项目分表!$L$6:$L$353)</f>
        <v>0</v>
      </c>
      <c r="L55" s="130">
        <f>IFERROR(SUMPRODUCT((危旧房屋改造项目分表!$B$6:$B$353=$L$3)*(危旧房屋改造项目分表!$AD$6:AD$353="是")*(危旧房屋改造项目分表!$O$6:$O$353="棚改征收")*(危旧房屋改造项目分表!$V$6:$V$353&lt;=10%)*危旧房屋改造项目分表!$L$6:$L$353),"")+SUMPRODUCT((危旧房屋改造项目分表!$B$6:$B$353=$L$3)*(危旧房屋改造项目分表!$AD$6:AD$353="是")*(危旧房屋改造项目分表!$O$6:$O$353="拆除补偿")*(危旧房屋改造项目分表!$V$6:$V$353&lt;=10%)*危旧房屋改造项目分表!$L$6:$L$353)</f>
        <v>0</v>
      </c>
      <c r="M55" s="130">
        <f>SUM($D$55:$L$55)</f>
        <v>0</v>
      </c>
      <c r="N55" s="149" t="str">
        <f>IF(ISERROR(M55/$M$67),"",M55/$M$67)</f>
        <v/>
      </c>
    </row>
    <row r="56" ht="15.6" customHeight="1" spans="1:14">
      <c r="A56" s="145"/>
      <c r="B56" s="129" t="s">
        <v>30</v>
      </c>
      <c r="C56" s="129" t="s">
        <v>17</v>
      </c>
      <c r="D56" s="130">
        <f>IFERROR(SUMPRODUCT((危旧房屋改造项目分表!$B$6:$B$353=$D$3)*(危旧房屋改造项目分表!$AD$6:AD$353="是")*(危旧房屋改造项目分表!$O$6:$O$353="棚改征收")*(危旧房屋改造项目分表!$V$6:$V$353&gt;=11%)*(危旧房屋改造项目分表!$V$6:$V$353&lt;=60%)*危旧房屋改造项目分表!$AF$6:$AF$353),"")+SUMPRODUCT((危旧房屋改造项目分表!$B$6:$B$353=$D$3)*(危旧房屋改造项目分表!$AD$6:AD$353="是")*(危旧房屋改造项目分表!$O$6:$O$353="拆除补偿")*(危旧房屋改造项目分表!$V$6:$V$353&gt;=11%)*(危旧房屋改造项目分表!$V$6:$V$353&lt;=60%)*危旧房屋改造项目分表!$AF$6:$AF$353)</f>
        <v>0</v>
      </c>
      <c r="E56" s="130">
        <f>IFERROR(SUMPRODUCT((危旧房屋改造项目分表!$B$6:$B$353=$E$3)*(危旧房屋改造项目分表!$AD$6:AD$353="是")*(危旧房屋改造项目分表!$O$6:$O$353="棚改征收")*(危旧房屋改造项目分表!$V$6:$V$353&gt;=11%)*(危旧房屋改造项目分表!$V$6:$V$353&lt;=60%)*危旧房屋改造项目分表!$AF$6:$AF$353),"")+SUMPRODUCT((危旧房屋改造项目分表!$B$6:$B$353=$E$3)*(危旧房屋改造项目分表!$AD$6:AD$353="是")*(危旧房屋改造项目分表!$O$6:$O$353="拆除补偿")*(危旧房屋改造项目分表!$V$6:$V$353&gt;=11%)*(危旧房屋改造项目分表!$V$6:$V$353&lt;=60%)*危旧房屋改造项目分表!$AF$6:$AF$353)</f>
        <v>0</v>
      </c>
      <c r="F56" s="130">
        <f>IFERROR(SUMPRODUCT((危旧房屋改造项目分表!$B$6:$B$353=$F$3)*(危旧房屋改造项目分表!$AD$6:AD$353="是")*(危旧房屋改造项目分表!$O$6:$O$353="棚改征收")*(危旧房屋改造项目分表!$V$6:$V$353&gt;=11%)*(危旧房屋改造项目分表!$V$6:$V$353&lt;=60%)*危旧房屋改造项目分表!$AF$6:$AF$353),"")+SUMPRODUCT((危旧房屋改造项目分表!$B$6:$B$353=$F$3)*(危旧房屋改造项目分表!$AD$6:AD$353="是")*(危旧房屋改造项目分表!$O$6:$O$353="拆除补偿")*(危旧房屋改造项目分表!$V$6:$V$353&gt;=11%)*(危旧房屋改造项目分表!$V$6:$V$353&lt;=60%)*危旧房屋改造项目分表!$AF$6:$AF$353)</f>
        <v>0</v>
      </c>
      <c r="G56" s="130">
        <f>IFERROR(SUMPRODUCT((危旧房屋改造项目分表!$B$6:$B$353=$G$3)*(危旧房屋改造项目分表!$AD$6:AD$353="是")*(危旧房屋改造项目分表!$O$6:$O$353="棚改征收")*(危旧房屋改造项目分表!$V$6:$V$353&gt;=11%)*(危旧房屋改造项目分表!$V$6:$V$353&lt;=60%)*危旧房屋改造项目分表!$AF$6:$AF$353),"")+SUMPRODUCT((危旧房屋改造项目分表!$B$6:$B$353=$G$3)*(危旧房屋改造项目分表!$AD$6:AD$353="是")*(危旧房屋改造项目分表!$O$6:$O$353="拆除补偿")*(危旧房屋改造项目分表!$V$6:$V$353&gt;=11%)*(危旧房屋改造项目分表!$V$6:$V$353&lt;=60%)*危旧房屋改造项目分表!$AF$6:$AF$353)</f>
        <v>0</v>
      </c>
      <c r="H56" s="130">
        <f>IFERROR(SUMPRODUCT((危旧房屋改造项目分表!$B$6:$B$353=$H$3)*(危旧房屋改造项目分表!$AD$6:AD$353="是")*(危旧房屋改造项目分表!$O$6:$O$353="棚改征收")*(危旧房屋改造项目分表!$V$6:$V$353&gt;=11%)*(危旧房屋改造项目分表!$V$6:$V$353&lt;=60%)*危旧房屋改造项目分表!$AF$6:$AF$353),"")+SUMPRODUCT((危旧房屋改造项目分表!$B$6:$B$353=$H$3)*(危旧房屋改造项目分表!$AD$6:AD$353="是")*(危旧房屋改造项目分表!$O$6:$O$353="拆除补偿")*(危旧房屋改造项目分表!$V$6:$V$353&gt;=11%)*(危旧房屋改造项目分表!$V$6:$V$353&lt;=60%)*危旧房屋改造项目分表!$AF$6:$AF$353)</f>
        <v>0</v>
      </c>
      <c r="I56" s="130">
        <f>IFERROR(SUMPRODUCT((危旧房屋改造项目分表!$B$6:$B$353=$I$3)*(危旧房屋改造项目分表!$AD$6:AD$353="是")*(危旧房屋改造项目分表!$O$6:$O$353="棚改征收")*(危旧房屋改造项目分表!$V$6:$V$353&gt;=11%)*(危旧房屋改造项目分表!$V$6:$V$353&lt;=60%)*危旧房屋改造项目分表!$AF$6:$AF$353),"")+SUMPRODUCT((危旧房屋改造项目分表!$B$6:$B$353=$I$3)*(危旧房屋改造项目分表!$AD$6:AD$353="是")*(危旧房屋改造项目分表!$O$6:$O$353="拆除补偿")*(危旧房屋改造项目分表!$V$6:$V$353&gt;=11%)*(危旧房屋改造项目分表!$V$6:$V$353&lt;=60%)*危旧房屋改造项目分表!$AF$6:$AF$353)</f>
        <v>0</v>
      </c>
      <c r="J56" s="130">
        <f>IFERROR(SUMPRODUCT((危旧房屋改造项目分表!$B$6:$B$353=$J$3)*(危旧房屋改造项目分表!$AD$6:AD$353="是")*(危旧房屋改造项目分表!$O$6:$O$353="棚改征收")*(危旧房屋改造项目分表!$V$6:$V$353&gt;=11%)*(危旧房屋改造项目分表!$V$6:$V$353&lt;=60%)*危旧房屋改造项目分表!$AF$6:$AF$353),"")+SUMPRODUCT((危旧房屋改造项目分表!$B$6:$B$353=$J$3)*(危旧房屋改造项目分表!$AD$6:AD$353="是")*(危旧房屋改造项目分表!$O$6:$O$353="拆除补偿")*(危旧房屋改造项目分表!$V$6:$V$353&gt;=11%)*(危旧房屋改造项目分表!$V$6:$V$353&lt;=60%)*危旧房屋改造项目分表!$AF$6:$AF$353)</f>
        <v>0</v>
      </c>
      <c r="K56" s="130">
        <f>IFERROR(SUMPRODUCT((危旧房屋改造项目分表!$B$6:$B$353=$K$3)*(危旧房屋改造项目分表!$AD$6:AD$353="是")*(危旧房屋改造项目分表!$O$6:$O$353="棚改征收")*(危旧房屋改造项目分表!$V$6:$V$353&gt;=11%)*(危旧房屋改造项目分表!$V$6:$V$353&lt;=60%)*危旧房屋改造项目分表!$AF$6:$AF$353),"")+SUMPRODUCT((危旧房屋改造项目分表!$B$6:$B$353=$K$3)*(危旧房屋改造项目分表!$AD$6:AD$353="是")*(危旧房屋改造项目分表!$O$6:$O$353="拆除补偿")*(危旧房屋改造项目分表!$V$6:$V$353&gt;=11%)*(危旧房屋改造项目分表!$V$6:$V$353&lt;=60%)*危旧房屋改造项目分表!$AF$6:$AF$353)</f>
        <v>0</v>
      </c>
      <c r="L56" s="130">
        <f>IFERROR(SUMPRODUCT((危旧房屋改造项目分表!$B$6:$B$353=$L$3)*(危旧房屋改造项目分表!$AD$6:AD$353="是")*(危旧房屋改造项目分表!$O$6:$O$353="棚改征收")*(危旧房屋改造项目分表!$V$6:$V$353&gt;=11%)*(危旧房屋改造项目分表!$V$6:$V$353&lt;=60%)*危旧房屋改造项目分表!$AF$6:$AF$353),"")+SUMPRODUCT((危旧房屋改造项目分表!$B$6:$B$353=$L$3)*(危旧房屋改造项目分表!$AD$6:AD$353="是")*(危旧房屋改造项目分表!$O$6:$O$353="拆除补偿")*(危旧房屋改造项目分表!$V$6:$V$353&gt;=11%)*(危旧房屋改造项目分表!$V$6:$V$353&lt;=60%)*危旧房屋改造项目分表!$AF$6:$AF$353)</f>
        <v>0</v>
      </c>
      <c r="M56" s="130">
        <f>SUM($D$56:$L$56)</f>
        <v>0</v>
      </c>
      <c r="N56" s="149" t="str">
        <f>IF(ISERROR(M56/$M$65),"",M56/$M$65)</f>
        <v/>
      </c>
    </row>
    <row r="57" ht="15.6" customHeight="1" spans="1:14">
      <c r="A57" s="145"/>
      <c r="B57" s="129"/>
      <c r="C57" s="129" t="s">
        <v>18</v>
      </c>
      <c r="D57" s="130">
        <f>IFERROR(SUMPRODUCT((危旧房屋改造项目分表!$B$6:$B$353=$D$3)*(危旧房屋改造项目分表!$AD$6:AD$353="是")*(危旧房屋改造项目分表!$O$6:$O$353="棚改征收")*(危旧房屋改造项目分表!$V$6:$V$353&gt;=11%)*(危旧房屋改造项目分表!$V$6:$V$353&lt;=60%)*危旧房屋改造项目分表!$K$6:$K$353),"")+SUMPRODUCT((危旧房屋改造项目分表!$B$6:$B$353=$D$3)*(危旧房屋改造项目分表!$AD$6:AD$353="是")*(危旧房屋改造项目分表!$O$6:$O$353="拆除补偿")*(危旧房屋改造项目分表!$V$6:$V$353&gt;=11%)*(危旧房屋改造项目分表!$V$6:$V$353&lt;=60%)*危旧房屋改造项目分表!$K$6:$K$353)</f>
        <v>0</v>
      </c>
      <c r="E57" s="130">
        <f>IFERROR(SUMPRODUCT((危旧房屋改造项目分表!$B$6:$B$353=$E$3)*(危旧房屋改造项目分表!$AD$6:AD$353="是")*(危旧房屋改造项目分表!$O$6:$O$353="棚改征收")*(危旧房屋改造项目分表!$V$6:$V$353&gt;=11%)*(危旧房屋改造项目分表!$V$6:$V$353&lt;=60%)*危旧房屋改造项目分表!$K$6:$K$353),"")+SUMPRODUCT((危旧房屋改造项目分表!$B$6:$B$353=$E$3)*(危旧房屋改造项目分表!$AD$6:AD$353="是")*(危旧房屋改造项目分表!$O$6:$O$353="拆除补偿")*(危旧房屋改造项目分表!$V$6:$V$353&gt;=11%)*(危旧房屋改造项目分表!$V$6:$V$353&lt;=60%)*危旧房屋改造项目分表!$K$6:$K$353)</f>
        <v>0</v>
      </c>
      <c r="F57" s="130">
        <f>IFERROR(SUMPRODUCT((危旧房屋改造项目分表!$B$6:$B$353=$F$3)*(危旧房屋改造项目分表!$AD$6:AD$353="是")*(危旧房屋改造项目分表!$O$6:$O$353="棚改征收")*(危旧房屋改造项目分表!$V$6:$V$353&gt;=11%)*(危旧房屋改造项目分表!$V$6:$V$353&lt;=60%)*危旧房屋改造项目分表!$K$6:$K$353),"")+SUMPRODUCT((危旧房屋改造项目分表!$B$6:$B$353=$F$3)*(危旧房屋改造项目分表!$AD$6:AD$353="是")*(危旧房屋改造项目分表!$O$6:$O$353="拆除补偿")*(危旧房屋改造项目分表!$V$6:$V$353&gt;=11%)*(危旧房屋改造项目分表!$V$6:$V$353&lt;=60%)*危旧房屋改造项目分表!$K$6:$K$353)</f>
        <v>0</v>
      </c>
      <c r="G57" s="130">
        <f>IFERROR(SUMPRODUCT((危旧房屋改造项目分表!$B$6:$B$353=$G$3)*(危旧房屋改造项目分表!$AD$6:AD$353="是")*(危旧房屋改造项目分表!$O$6:$O$353="棚改征收")*(危旧房屋改造项目分表!$V$6:$V$353&gt;=11%)*(危旧房屋改造项目分表!$V$6:$V$353&lt;=60%)*危旧房屋改造项目分表!$K$6:$K$353),"")+SUMPRODUCT((危旧房屋改造项目分表!$B$6:$B$353=$G$3)*(危旧房屋改造项目分表!$AD$6:AD$353="是")*(危旧房屋改造项目分表!$O$6:$O$353="拆除补偿")*(危旧房屋改造项目分表!$V$6:$V$353&gt;=11%)*(危旧房屋改造项目分表!$V$6:$V$353&lt;=60%)*危旧房屋改造项目分表!$K$6:$K$353)</f>
        <v>0</v>
      </c>
      <c r="H57" s="130">
        <f>IFERROR(SUMPRODUCT((危旧房屋改造项目分表!$B$6:$B$353=$H$3)*(危旧房屋改造项目分表!$AD$6:AD$353="是")*(危旧房屋改造项目分表!$O$6:$O$353="棚改征收")*(危旧房屋改造项目分表!$V$6:$V$353&gt;=11%)*(危旧房屋改造项目分表!$V$6:$V$353&lt;=60%)*危旧房屋改造项目分表!$K$6:$K$353),"")+SUMPRODUCT((危旧房屋改造项目分表!$B$6:$B$353=$H$3)*(危旧房屋改造项目分表!$AD$6:AD$353="是")*(危旧房屋改造项目分表!$O$6:$O$353="拆除补偿")*(危旧房屋改造项目分表!$V$6:$V$353&gt;=11%)*(危旧房屋改造项目分表!$V$6:$V$353&lt;=60%)*危旧房屋改造项目分表!$K$6:$K$353)</f>
        <v>0</v>
      </c>
      <c r="I57" s="130">
        <f>IFERROR(SUMPRODUCT((危旧房屋改造项目分表!$B$6:$B$353=$I$3)*(危旧房屋改造项目分表!$AD$6:AD$353="是")*(危旧房屋改造项目分表!$O$6:$O$353="棚改征收")*(危旧房屋改造项目分表!$V$6:$V$353&gt;=11%)*(危旧房屋改造项目分表!$V$6:$V$353&lt;=60%)*危旧房屋改造项目分表!$K$6:$K$353),"")+SUMPRODUCT((危旧房屋改造项目分表!$B$6:$B$353=$I$3)*(危旧房屋改造项目分表!$AD$6:AD$353="是")*(危旧房屋改造项目分表!$O$6:$O$353="拆除补偿")*(危旧房屋改造项目分表!$V$6:$V$353&gt;=11%)*(危旧房屋改造项目分表!$V$6:$V$353&lt;=60%)*危旧房屋改造项目分表!$K$6:$K$353)</f>
        <v>0</v>
      </c>
      <c r="J57" s="130">
        <f>IFERROR(SUMPRODUCT((危旧房屋改造项目分表!$B$6:$B$353=$J$3)*(危旧房屋改造项目分表!$AD$6:AD$353="是")*(危旧房屋改造项目分表!$O$6:$O$353="棚改征收")*(危旧房屋改造项目分表!$V$6:$V$353&gt;=11%)*(危旧房屋改造项目分表!$V$6:$V$353&lt;=60%)*危旧房屋改造项目分表!$K$6:$K$353),"")+SUMPRODUCT((危旧房屋改造项目分表!$B$6:$B$353=$J$3)*(危旧房屋改造项目分表!$AD$6:AD$353="是")*(危旧房屋改造项目分表!$O$6:$O$353="拆除补偿")*(危旧房屋改造项目分表!$V$6:$V$353&gt;=11%)*(危旧房屋改造项目分表!$V$6:$V$353&lt;=60%)*危旧房屋改造项目分表!$K$6:$K$353)</f>
        <v>0</v>
      </c>
      <c r="K57" s="130">
        <f>IFERROR(SUMPRODUCT((危旧房屋改造项目分表!$B$6:$B$353=$K$3)*(危旧房屋改造项目分表!$AD$6:AD$353="是")*(危旧房屋改造项目分表!$O$6:$O$353="棚改征收")*(危旧房屋改造项目分表!$V$6:$V$353&gt;=11%)*(危旧房屋改造项目分表!$V$6:$V$353&lt;=60%)*危旧房屋改造项目分表!$K$6:$K$353),"")+SUMPRODUCT((危旧房屋改造项目分表!$B$6:$B$353=$K$3)*(危旧房屋改造项目分表!$AD$6:AD$353="是")*(危旧房屋改造项目分表!$O$6:$O$353="拆除补偿")*(危旧房屋改造项目分表!$V$6:$V$353&gt;=11%)*(危旧房屋改造项目分表!$V$6:$V$353&lt;=60%)*危旧房屋改造项目分表!$K$6:$K$353)</f>
        <v>0</v>
      </c>
      <c r="L57" s="130">
        <f>IFERROR(SUMPRODUCT((危旧房屋改造项目分表!$B$6:$B$353=$L$3)*(危旧房屋改造项目分表!$AD$6:AD$353="是")*(危旧房屋改造项目分表!$O$6:$O$353="棚改征收")*(危旧房屋改造项目分表!$V$6:$V$353&gt;=11%)*(危旧房屋改造项目分表!$V$6:$V$353&lt;=60%)*危旧房屋改造项目分表!$K$6:$K$353),"")+SUMPRODUCT((危旧房屋改造项目分表!$B$6:$B$353=$L$3)*(危旧房屋改造项目分表!$AD$6:AD$353="是")*(危旧房屋改造项目分表!$O$6:$O$353="拆除补偿")*(危旧房屋改造项目分表!$V$6:$V$353&gt;=11%)*(危旧房屋改造项目分表!$V$6:$V$353&lt;=60%)*危旧房屋改造项目分表!$K$6:$K$353)</f>
        <v>0</v>
      </c>
      <c r="M57" s="130">
        <f>SUM($D$57:$L$57)</f>
        <v>0</v>
      </c>
      <c r="N57" s="149" t="str">
        <f>IF(ISERROR(M57/$M$66),"",M57/$M$66)</f>
        <v/>
      </c>
    </row>
    <row r="58" ht="15.6" customHeight="1" spans="1:14">
      <c r="A58" s="145"/>
      <c r="B58" s="129"/>
      <c r="C58" s="129" t="s">
        <v>19</v>
      </c>
      <c r="D58" s="130">
        <f>IFERROR(SUMPRODUCT((危旧房屋改造项目分表!$B$6:$B$353=$D$3)*(危旧房屋改造项目分表!$AD$6:AD$353="是")*(危旧房屋改造项目分表!$O$6:$O$353="棚改征收")*(危旧房屋改造项目分表!$V$6:$V$353&gt;=11%)*(危旧房屋改造项目分表!$V$6:$V$353&lt;=60%)*危旧房屋改造项目分表!$L$6:$L$353),"")+SUMPRODUCT((危旧房屋改造项目分表!$B$6:$B$353=$D$3)*(危旧房屋改造项目分表!$AD$6:AD$353="是")*(危旧房屋改造项目分表!$O$6:$O$353="拆除补偿")*(危旧房屋改造项目分表!$V$6:$V$353&gt;=11%)*(危旧房屋改造项目分表!$V$6:$V$353&lt;=60%)*危旧房屋改造项目分表!$L$6:$L$353)</f>
        <v>0</v>
      </c>
      <c r="E58" s="130">
        <f>IFERROR(SUMPRODUCT((危旧房屋改造项目分表!$B$6:$B$353=$F$3)*(危旧房屋改造项目分表!$AD$6:AD$353="是")*(危旧房屋改造项目分表!$O$6:$O$353="棚改征收")*(危旧房屋改造项目分表!$V$6:$V$353&gt;=11%)*(危旧房屋改造项目分表!$V$6:$V$353&lt;=60%)*危旧房屋改造项目分表!$L$6:$L$353),"")+SUMPRODUCT((危旧房屋改造项目分表!$B$6:$B$353=$F$3)*(危旧房屋改造项目分表!$AD$6:AD$353="是")*(危旧房屋改造项目分表!$O$6:$O$353="拆除补偿")*(危旧房屋改造项目分表!$V$6:$V$353&gt;=11%)*(危旧房屋改造项目分表!$V$6:$V$353&lt;=60%)*危旧房屋改造项目分表!$L$6:$L$353)</f>
        <v>0</v>
      </c>
      <c r="F58" s="130">
        <f>IFERROR(SUMPRODUCT((危旧房屋改造项目分表!$B$6:$B$353=$G$3)*(危旧房屋改造项目分表!$AD$6:AD$353="是")*(危旧房屋改造项目分表!$O$6:$O$353="棚改征收")*(危旧房屋改造项目分表!$V$6:$V$353&gt;=11%)*(危旧房屋改造项目分表!$V$6:$V$353&lt;=60%)*危旧房屋改造项目分表!$L$6:$L$353),"")+SUMPRODUCT((危旧房屋改造项目分表!$B$6:$B$353=$G$3)*(危旧房屋改造项目分表!$AD$6:AD$353="是")*(危旧房屋改造项目分表!$O$6:$O$353="拆除补偿")*(危旧房屋改造项目分表!$V$6:$V$353&gt;=11%)*(危旧房屋改造项目分表!$V$6:$V$353&lt;=60%)*危旧房屋改造项目分表!$L$6:$L$353)</f>
        <v>0</v>
      </c>
      <c r="G58" s="130">
        <f>IFERROR(SUMPRODUCT((危旧房屋改造项目分表!$B$6:$B$353=$G$3)*(危旧房屋改造项目分表!$AD$6:AD$353="是")*(危旧房屋改造项目分表!$O$6:$O$353="棚改征收")*(危旧房屋改造项目分表!$V$6:$V$353&gt;=11%)*(危旧房屋改造项目分表!$V$6:$V$353&lt;=60%)*危旧房屋改造项目分表!$L$6:$L$353),"")+SUMPRODUCT((危旧房屋改造项目分表!$B$6:$B$353=$G$3)*(危旧房屋改造项目分表!$AD$6:AD$353="是")*(危旧房屋改造项目分表!$O$6:$O$353="拆除补偿")*(危旧房屋改造项目分表!$V$6:$V$353&gt;=11%)*(危旧房屋改造项目分表!$V$6:$V$353&lt;=60%)*危旧房屋改造项目分表!$L$6:$L$353)</f>
        <v>0</v>
      </c>
      <c r="H58" s="130">
        <f>IFERROR(SUMPRODUCT((危旧房屋改造项目分表!$B$6:$B$353=$H$3)*(危旧房屋改造项目分表!$AD$6:AD$353="是")*(危旧房屋改造项目分表!$O$6:$O$353="棚改征收")*(危旧房屋改造项目分表!$V$6:$V$353&gt;=11%)*(危旧房屋改造项目分表!$V$6:$V$353&lt;=60%)*危旧房屋改造项目分表!$L$6:$L$353),"")+SUMPRODUCT((危旧房屋改造项目分表!$B$6:$B$353=$H$3)*(危旧房屋改造项目分表!$AD$6:AD$353="是")*(危旧房屋改造项目分表!$O$6:$O$353="拆除补偿")*(危旧房屋改造项目分表!$V$6:$V$353&gt;=11%)*(危旧房屋改造项目分表!$V$6:$V$353&lt;=60%)*危旧房屋改造项目分表!$L$6:$L$353)</f>
        <v>0</v>
      </c>
      <c r="I58" s="130">
        <f>IFERROR(SUMPRODUCT((危旧房屋改造项目分表!$B$6:$B$353=$I$3)*(危旧房屋改造项目分表!$AD$6:AD$353="是")*(危旧房屋改造项目分表!$O$6:$O$353="棚改征收")*(危旧房屋改造项目分表!$V$6:$V$353&gt;=11%)*(危旧房屋改造项目分表!$V$6:$V$353&lt;=60%)*危旧房屋改造项目分表!$L$6:$L$353),"")+SUMPRODUCT((危旧房屋改造项目分表!$B$6:$B$353=$I$3)*(危旧房屋改造项目分表!$AD$6:AD$353="是")*(危旧房屋改造项目分表!$O$6:$O$353="拆除补偿")*(危旧房屋改造项目分表!$V$6:$V$353&gt;=11%)*(危旧房屋改造项目分表!$V$6:$V$353&lt;=60%)*危旧房屋改造项目分表!$L$6:$L$353)</f>
        <v>0</v>
      </c>
      <c r="J58" s="130">
        <f>IFERROR(SUMPRODUCT((危旧房屋改造项目分表!$B$6:$B$353=$J$3)*(危旧房屋改造项目分表!$AD$6:AD$353="是")*(危旧房屋改造项目分表!$O$6:$O$353="棚改征收")*(危旧房屋改造项目分表!$V$6:$V$353&gt;=11%)*(危旧房屋改造项目分表!$V$6:$V$353&lt;=60%)*危旧房屋改造项目分表!$L$6:$L$353),"")+SUMPRODUCT((危旧房屋改造项目分表!$B$6:$B$353=$J$3)*(危旧房屋改造项目分表!$AD$6:AD$353="是")*(危旧房屋改造项目分表!$O$6:$O$353="拆除补偿")*(危旧房屋改造项目分表!$V$6:$V$353&gt;=11%)*(危旧房屋改造项目分表!$V$6:$V$353&lt;=60%)*危旧房屋改造项目分表!$L$6:$L$353)</f>
        <v>0</v>
      </c>
      <c r="K58" s="130">
        <f>IFERROR(SUMPRODUCT((危旧房屋改造项目分表!$B$6:$B$353=$K$3)*(危旧房屋改造项目分表!$AD$6:AD$353="是")*(危旧房屋改造项目分表!$O$6:$O$353="棚改征收")*(危旧房屋改造项目分表!$V$6:$V$353&gt;=11%)*(危旧房屋改造项目分表!$V$6:$V$353&lt;=60%)*危旧房屋改造项目分表!$L$6:$L$353),"")+SUMPRODUCT((危旧房屋改造项目分表!$B$6:$B$353=$K$3)*(危旧房屋改造项目分表!$AD$6:AD$353="是")*(危旧房屋改造项目分表!$O$6:$O$353="拆除补偿")*(危旧房屋改造项目分表!$V$6:$V$353&gt;=11%)*(危旧房屋改造项目分表!$V$6:$V$353&lt;=60%)*危旧房屋改造项目分表!$L$6:$L$353)</f>
        <v>0</v>
      </c>
      <c r="L58" s="130">
        <f>IFERROR(SUMPRODUCT((危旧房屋改造项目分表!$B$6:$B$353=$L$3)*(危旧房屋改造项目分表!$AD$6:AD$353="是")*(危旧房屋改造项目分表!$O$6:$O$353="棚改征收")*(危旧房屋改造项目分表!$V$6:$V$353&gt;=11%)*(危旧房屋改造项目分表!$V$6:$V$353&lt;=60%)*危旧房屋改造项目分表!$L$6:$L$353),"")+SUMPRODUCT((危旧房屋改造项目分表!$B$6:$B$353=$L$3)*(危旧房屋改造项目分表!$AD$6:AD$353="是")*(危旧房屋改造项目分表!$O$6:$O$353="拆除补偿")*(危旧房屋改造项目分表!$V$6:$V$353&gt;=11%)*(危旧房屋改造项目分表!$V$6:$V$353&lt;=60%)*危旧房屋改造项目分表!$L$6:$L$353)</f>
        <v>0</v>
      </c>
      <c r="M58" s="130">
        <f>SUM($D$58:$L$58)</f>
        <v>0</v>
      </c>
      <c r="N58" s="149" t="str">
        <f>IF(ISERROR(M58/$M$67),"",M58/$M$67)</f>
        <v/>
      </c>
    </row>
    <row r="59" ht="15.6" customHeight="1" spans="1:14">
      <c r="A59" s="145"/>
      <c r="B59" s="129" t="s">
        <v>31</v>
      </c>
      <c r="C59" s="129" t="s">
        <v>17</v>
      </c>
      <c r="D59" s="130">
        <f>IFERROR(SUMPRODUCT((危旧房屋改造项目分表!$B$6:$B$353=$D$3)*(危旧房屋改造项目分表!$AD$6:AD$353="是")*(危旧房屋改造项目分表!$O$6:$O$353="棚改征收")*(危旧房屋改造项目分表!$V$6:$V$353&gt;=61%)*(危旧房屋改造项目分表!$V$6:$V$353&lt;=89%)*危旧房屋改造项目分表!$AF$6:$AF$353),"")+SUMPRODUCT((危旧房屋改造项目分表!$B$6:$B$353=$D$3)*(危旧房屋改造项目分表!$AD$6:AD$353="是")*(危旧房屋改造项目分表!$O$6:$O$353="拆除补偿")*(危旧房屋改造项目分表!$V$6:$V$353&gt;=61%)*(危旧房屋改造项目分表!$V$6:$V$353&lt;=89%)*危旧房屋改造项目分表!$AF$6:$AF$353)</f>
        <v>0</v>
      </c>
      <c r="E59" s="130">
        <f>IFERROR(SUMPRODUCT((危旧房屋改造项目分表!$B$6:$B$353=$E$3)*(危旧房屋改造项目分表!$AD$6:AD$353="是")*(危旧房屋改造项目分表!$O$6:$O$353="棚改征收")*(危旧房屋改造项目分表!$V$6:$V$353&gt;=61%)*(危旧房屋改造项目分表!$V$6:$V$353&lt;=89%)*危旧房屋改造项目分表!$AF$6:$AF$353),"")+SUMPRODUCT((危旧房屋改造项目分表!$B$6:$B$353=$E$3)*(危旧房屋改造项目分表!$AD$6:AD$353="是")*(危旧房屋改造项目分表!$O$6:$O$353="拆除补偿")*(危旧房屋改造项目分表!$V$6:$V$353&gt;=61%)*(危旧房屋改造项目分表!$V$6:$V$353&lt;=89%)*危旧房屋改造项目分表!$AF$6:$AF$353)</f>
        <v>0</v>
      </c>
      <c r="F59" s="130">
        <f>IFERROR(SUMPRODUCT((危旧房屋改造项目分表!$B$6:$B$353=$F$3)*(危旧房屋改造项目分表!$AD$6:AD$353="是")*(危旧房屋改造项目分表!$O$6:$O$353="棚改征收")*(危旧房屋改造项目分表!$V$6:$V$353&gt;=61%)*(危旧房屋改造项目分表!$V$6:$V$353&lt;=89%)*危旧房屋改造项目分表!$AF$6:$AF$353),"")+SUMPRODUCT((危旧房屋改造项目分表!$B$6:$B$353=$F$3)*(危旧房屋改造项目分表!$AD$6:AD$353="是")*(危旧房屋改造项目分表!$O$6:$O$353="拆除补偿")*(危旧房屋改造项目分表!$V$6:$V$353&gt;=61%)*(危旧房屋改造项目分表!$V$6:$V$353&lt;=89%)*危旧房屋改造项目分表!$AF$6:$AF$353)</f>
        <v>0</v>
      </c>
      <c r="G59" s="130">
        <f>IFERROR(SUMPRODUCT((危旧房屋改造项目分表!$B$6:$B$353=$G$3)*(危旧房屋改造项目分表!$AD$6:AD$353="是")*(危旧房屋改造项目分表!$O$6:$O$353="棚改征收")*(危旧房屋改造项目分表!$V$6:$V$353&gt;=61%)*(危旧房屋改造项目分表!$V$6:$V$353&lt;=89%)*危旧房屋改造项目分表!$AF$6:$AF$353),"")+SUMPRODUCT((危旧房屋改造项目分表!$B$6:$B$353=$G$3)*(危旧房屋改造项目分表!$AD$6:AD$353="是")*(危旧房屋改造项目分表!$O$6:$O$353="拆除补偿")*(危旧房屋改造项目分表!$V$6:$V$353&gt;=61%)*(危旧房屋改造项目分表!$V$6:$V$353&lt;=89%)*危旧房屋改造项目分表!$AF$6:$AF$353)</f>
        <v>0</v>
      </c>
      <c r="H59" s="130">
        <f>IFERROR(SUMPRODUCT((危旧房屋改造项目分表!$B$6:$B$353=$H$3)*(危旧房屋改造项目分表!$AD$6:AD$353="是")*(危旧房屋改造项目分表!$O$6:$O$353="棚改征收")*(危旧房屋改造项目分表!$V$6:$V$353&gt;=61%)*(危旧房屋改造项目分表!$V$6:$V$353&lt;=89%)*危旧房屋改造项目分表!$AF$6:$AF$353),"")+SUMPRODUCT((危旧房屋改造项目分表!$B$6:$B$353=$H$3)*(危旧房屋改造项目分表!$AD$6:AD$353="是")*(危旧房屋改造项目分表!$O$6:$O$353="拆除补偿")*(危旧房屋改造项目分表!$V$6:$V$353&gt;=61%)*(危旧房屋改造项目分表!$V$6:$V$353&lt;=89%)*危旧房屋改造项目分表!$AF$6:$AF$353)</f>
        <v>0</v>
      </c>
      <c r="I59" s="130">
        <f>IFERROR(SUMPRODUCT((危旧房屋改造项目分表!$B$6:$B$353=$I$3)*(危旧房屋改造项目分表!$AD$6:AD$353="是")*(危旧房屋改造项目分表!$O$6:$O$353="棚改征收")*(危旧房屋改造项目分表!$V$6:$V$353&gt;=61%)*(危旧房屋改造项目分表!$V$6:$V$353&lt;=89%)*危旧房屋改造项目分表!$AF$6:$AF$353),"")+SUMPRODUCT((危旧房屋改造项目分表!$B$6:$B$353=$I$3)*(危旧房屋改造项目分表!$AD$6:AD$353="是")*(危旧房屋改造项目分表!$O$6:$O$353="拆除补偿")*(危旧房屋改造项目分表!$V$6:$V$353&gt;=61%)*(危旧房屋改造项目分表!$V$6:$V$353&lt;=89%)*危旧房屋改造项目分表!$AF$6:$AF$353)</f>
        <v>0</v>
      </c>
      <c r="J59" s="130">
        <f>IFERROR(SUMPRODUCT((危旧房屋改造项目分表!$B$6:$B$353=$J$3)*(危旧房屋改造项目分表!$AD$6:AD$353="是")*(危旧房屋改造项目分表!$O$6:$O$353="棚改征收")*(危旧房屋改造项目分表!$V$6:$V$353&gt;=61%)*(危旧房屋改造项目分表!$V$6:$V$353&lt;=89%)*危旧房屋改造项目分表!$AF$6:$AF$353),"")+SUMPRODUCT((危旧房屋改造项目分表!$B$6:$B$353=$J$3)*(危旧房屋改造项目分表!$AD$6:AD$353="是")*(危旧房屋改造项目分表!$O$6:$O$353="拆除补偿")*(危旧房屋改造项目分表!$V$6:$V$353&gt;=61%)*(危旧房屋改造项目分表!$V$6:$V$353&lt;=89%)*危旧房屋改造项目分表!$AF$6:$AF$353)</f>
        <v>0</v>
      </c>
      <c r="K59" s="130">
        <f>IFERROR(SUMPRODUCT((危旧房屋改造项目分表!$B$6:$B$353=$K$3)*(危旧房屋改造项目分表!$AD$6:AD$353="是")*(危旧房屋改造项目分表!$O$6:$O$353="棚改征收")*(危旧房屋改造项目分表!$V$6:$V$353&gt;=61%)*(危旧房屋改造项目分表!$V$6:$V$353&lt;=89%)*危旧房屋改造项目分表!$AF$6:$AF$353),"")+SUMPRODUCT((危旧房屋改造项目分表!$B$6:$B$353=$K$3)*(危旧房屋改造项目分表!$AD$6:AD$353="是")*(危旧房屋改造项目分表!$O$6:$O$353="拆除补偿")*(危旧房屋改造项目分表!$V$6:$V$353&gt;=61%)*(危旧房屋改造项目分表!$V$6:$V$353&lt;=89%)*危旧房屋改造项目分表!$AF$6:$AF$353)</f>
        <v>0</v>
      </c>
      <c r="L59" s="130">
        <f>IFERROR(SUMPRODUCT((危旧房屋改造项目分表!$B$6:$B$353=$L$3)*(危旧房屋改造项目分表!$AD$6:AD$353="是")*(危旧房屋改造项目分表!$O$6:$O$353="棚改征收")*(危旧房屋改造项目分表!$V$6:$V$353&gt;=61%)*(危旧房屋改造项目分表!$V$6:$V$353&lt;=89%)*危旧房屋改造项目分表!$AF$6:$AF$353),"")+SUMPRODUCT((危旧房屋改造项目分表!$B$6:$B$353=$L$3)*(危旧房屋改造项目分表!$AD$6:AD$353="是")*(危旧房屋改造项目分表!$O$6:$O$353="拆除补偿")*(危旧房屋改造项目分表!$V$6:$V$353&gt;=61%)*(危旧房屋改造项目分表!$V$6:$V$353&lt;=89%)*危旧房屋改造项目分表!$AF$6:$AF$353)</f>
        <v>0</v>
      </c>
      <c r="M59" s="130">
        <f>SUM($D$59:$L$59)</f>
        <v>0</v>
      </c>
      <c r="N59" s="149" t="str">
        <f>IF(ISERROR(M59/$M$65),"",M59/$M$65)</f>
        <v/>
      </c>
    </row>
    <row r="60" ht="15.6" customHeight="1" spans="1:14">
      <c r="A60" s="145"/>
      <c r="B60" s="129"/>
      <c r="C60" s="129" t="s">
        <v>18</v>
      </c>
      <c r="D60" s="130">
        <f>IFERROR(SUMPRODUCT((危旧房屋改造项目分表!$B$6:$B$353=$D$3)*(危旧房屋改造项目分表!$AD$6:AD$353="是")*(危旧房屋改造项目分表!$O$6:$O$353="棚改征收")*(危旧房屋改造项目分表!$V$6:$V$353&gt;=61%)*(危旧房屋改造项目分表!$V$6:$V$353&lt;=89%)*危旧房屋改造项目分表!$K$6:$K$353),"")+SUMPRODUCT((危旧房屋改造项目分表!$B$6:$B$353=$D$3)*(危旧房屋改造项目分表!$AD$6:AD$353="是")*(危旧房屋改造项目分表!$O$6:$O$353="拆除补偿")*(危旧房屋改造项目分表!$V$6:$V$353&gt;=61%)*(危旧房屋改造项目分表!$V$6:$V$353&lt;=89%)*危旧房屋改造项目分表!$K$6:$K$353)</f>
        <v>0</v>
      </c>
      <c r="E60" s="130">
        <f>IFERROR(SUMPRODUCT((危旧房屋改造项目分表!$B$6:$B$353=$E$3)*(危旧房屋改造项目分表!$AD$6:AD$353="是")*(危旧房屋改造项目分表!$O$6:$O$353="棚改征收")*(危旧房屋改造项目分表!$V$6:$V$353&gt;=61%)*(危旧房屋改造项目分表!$V$6:$V$353&lt;=89%)*危旧房屋改造项目分表!$K$6:$K$353),"")+SUMPRODUCT((危旧房屋改造项目分表!$B$6:$B$353=$E$3)*(危旧房屋改造项目分表!$AD$6:AD$353="是")*(危旧房屋改造项目分表!$O$6:$O$353="拆除补偿")*(危旧房屋改造项目分表!$V$6:$V$353&gt;=61%)*(危旧房屋改造项目分表!$V$6:$V$353&lt;=89%)*危旧房屋改造项目分表!$K$6:$K$353)</f>
        <v>0</v>
      </c>
      <c r="F60" s="130">
        <f>IFERROR(SUMPRODUCT((危旧房屋改造项目分表!$B$6:$B$353=$F$3)*(危旧房屋改造项目分表!$AD$6:AD$353="是")*(危旧房屋改造项目分表!$O$6:$O$353="棚改征收")*(危旧房屋改造项目分表!$V$6:$V$353&gt;=61%)*(危旧房屋改造项目分表!$V$6:$V$353&lt;=89%)*危旧房屋改造项目分表!$K$6:$K$353),"")+SUMPRODUCT((危旧房屋改造项目分表!$B$6:$B$353=$F$3)*(危旧房屋改造项目分表!$AD$6:AD$353="是")*(危旧房屋改造项目分表!$O$6:$O$353="拆除补偿")*(危旧房屋改造项目分表!$V$6:$V$353&gt;=61%)*(危旧房屋改造项目分表!$V$6:$V$353&lt;=89%)*危旧房屋改造项目分表!$K$6:$K$353)</f>
        <v>0</v>
      </c>
      <c r="G60" s="130">
        <f>IFERROR(SUMPRODUCT((危旧房屋改造项目分表!$B$6:$B$353=$G$3)*(危旧房屋改造项目分表!$AD$6:AD$353="是")*(危旧房屋改造项目分表!$O$6:$O$353="棚改征收")*(危旧房屋改造项目分表!$V$6:$V$353&gt;=61%)*(危旧房屋改造项目分表!$V$6:$V$353&lt;=89%)*危旧房屋改造项目分表!$K$6:$K$353),"")+SUMPRODUCT((危旧房屋改造项目分表!$B$6:$B$353=$G$3)*(危旧房屋改造项目分表!$AD$6:AD$353="是")*(危旧房屋改造项目分表!$O$6:$O$353="拆除补偿")*(危旧房屋改造项目分表!$V$6:$V$353&gt;=61%)*(危旧房屋改造项目分表!$V$6:$V$353&lt;=89%)*危旧房屋改造项目分表!$K$6:$K$353)</f>
        <v>0</v>
      </c>
      <c r="H60" s="130">
        <f>IFERROR(SUMPRODUCT((危旧房屋改造项目分表!$B$6:$B$353=$H$3)*(危旧房屋改造项目分表!$AD$6:AD$353="是")*(危旧房屋改造项目分表!$O$6:$O$353="棚改征收")*(危旧房屋改造项目分表!$V$6:$V$353&gt;=61%)*(危旧房屋改造项目分表!$V$6:$V$353&lt;=89%)*危旧房屋改造项目分表!$K$6:$K$353),"")+SUMPRODUCT((危旧房屋改造项目分表!$B$6:$B$353=$H$3)*(危旧房屋改造项目分表!$AD$6:AD$353="是")*(危旧房屋改造项目分表!$O$6:$O$353="拆除补偿")*(危旧房屋改造项目分表!$V$6:$V$353&gt;=61%)*(危旧房屋改造项目分表!$V$6:$V$353&lt;=89%)*危旧房屋改造项目分表!$K$6:$K$353)</f>
        <v>0</v>
      </c>
      <c r="I60" s="130">
        <f>IFERROR(SUMPRODUCT((危旧房屋改造项目分表!$B$6:$B$353=$I$3)*(危旧房屋改造项目分表!$AD$6:AD$353="是")*(危旧房屋改造项目分表!$O$6:$O$353="棚改征收")*(危旧房屋改造项目分表!$V$6:$V$353&gt;=61%)*(危旧房屋改造项目分表!$V$6:$V$353&lt;=89%)*危旧房屋改造项目分表!$K$6:$K$353),"")+SUMPRODUCT((危旧房屋改造项目分表!$B$6:$B$353=$I$3)*(危旧房屋改造项目分表!$AD$6:AD$353="是")*(危旧房屋改造项目分表!$O$6:$O$353="拆除补偿")*(危旧房屋改造项目分表!$V$6:$V$353&gt;=61%)*(危旧房屋改造项目分表!$V$6:$V$353&lt;=89%)*危旧房屋改造项目分表!$K$6:$K$353)</f>
        <v>0</v>
      </c>
      <c r="J60" s="130">
        <f>IFERROR(SUMPRODUCT((危旧房屋改造项目分表!$B$6:$B$353=$J$3)*(危旧房屋改造项目分表!$AD$6:AD$353="是")*(危旧房屋改造项目分表!$O$6:$O$353="棚改征收")*(危旧房屋改造项目分表!$V$6:$V$353&gt;=61%)*(危旧房屋改造项目分表!$V$6:$V$353&lt;=89%)*危旧房屋改造项目分表!$K$6:$K$353),"")+SUMPRODUCT((危旧房屋改造项目分表!$B$6:$B$353=$J$3)*(危旧房屋改造项目分表!$AD$6:AD$353="是")*(危旧房屋改造项目分表!$O$6:$O$353="拆除补偿")*(危旧房屋改造项目分表!$V$6:$V$353&gt;=61%)*(危旧房屋改造项目分表!$V$6:$V$353&lt;=89%)*危旧房屋改造项目分表!$K$6:$K$353)</f>
        <v>0</v>
      </c>
      <c r="K60" s="130">
        <f>IFERROR(SUMPRODUCT((危旧房屋改造项目分表!$B$6:$B$353=$K$3)*(危旧房屋改造项目分表!$AD$6:AD$353="是")*(危旧房屋改造项目分表!$O$6:$O$353="棚改征收")*(危旧房屋改造项目分表!$V$6:$V$353&gt;=61%)*(危旧房屋改造项目分表!$V$6:$V$353&lt;=89%)*危旧房屋改造项目分表!$K$6:$K$353),"")+SUMPRODUCT((危旧房屋改造项目分表!$B$6:$B$353=$K$3)*(危旧房屋改造项目分表!$AD$6:AD$353="是")*(危旧房屋改造项目分表!$O$6:$O$353="拆除补偿")*(危旧房屋改造项目分表!$V$6:$V$353&gt;=61%)*(危旧房屋改造项目分表!$V$6:$V$353&lt;=89%)*危旧房屋改造项目分表!$K$6:$K$353)</f>
        <v>0</v>
      </c>
      <c r="L60" s="130">
        <f>IFERROR(SUMPRODUCT((危旧房屋改造项目分表!$B$6:$B$353=$L$3)*(危旧房屋改造项目分表!$AD$6:AD$353="是")*(危旧房屋改造项目分表!$O$6:$O$353="棚改征收")*(危旧房屋改造项目分表!$V$6:$V$353&gt;=61%)*(危旧房屋改造项目分表!$V$6:$V$353&lt;=89%)*危旧房屋改造项目分表!$K$6:$K$353),"")+SUMPRODUCT((危旧房屋改造项目分表!$B$6:$B$353=$L$3)*(危旧房屋改造项目分表!$AD$6:AD$353="是")*(危旧房屋改造项目分表!$O$6:$O$353="拆除补偿")*(危旧房屋改造项目分表!$V$6:$V$353&gt;=61%)*(危旧房屋改造项目分表!$V$6:$V$353&lt;=89%)*危旧房屋改造项目分表!$K$6:$K$353)</f>
        <v>0</v>
      </c>
      <c r="M60" s="130">
        <f>SUM($D$60:$L$60)</f>
        <v>0</v>
      </c>
      <c r="N60" s="149" t="str">
        <f>IF(ISERROR(M60/$M$66),"",M60/$M$66)</f>
        <v/>
      </c>
    </row>
    <row r="61" ht="15.6" customHeight="1" spans="1:14">
      <c r="A61" s="145"/>
      <c r="B61" s="129"/>
      <c r="C61" s="129" t="s">
        <v>19</v>
      </c>
      <c r="D61" s="130">
        <f>IFERROR(SUMPRODUCT((危旧房屋改造项目分表!$B$6:$B$353=$D$3)*(危旧房屋改造项目分表!$AD$6:AD$353="是")*(危旧房屋改造项目分表!$O$6:$O$353="棚改征收")*(危旧房屋改造项目分表!$V$6:$V$353&gt;=61%)*(危旧房屋改造项目分表!$V$6:$V$353&lt;=89%)*危旧房屋改造项目分表!$L$6:$L$353),"")+SUMPRODUCT((危旧房屋改造项目分表!$B$6:$B$353=$D$3)*(危旧房屋改造项目分表!$AD$6:AD$353="是")*(危旧房屋改造项目分表!$O$6:$O$353="拆除补偿")*(危旧房屋改造项目分表!$V$6:$V$353&gt;=61%)*(危旧房屋改造项目分表!$V$6:$V$353&lt;=89%)*危旧房屋改造项目分表!$L$6:$L$353)</f>
        <v>0</v>
      </c>
      <c r="E61" s="130">
        <f>IFERROR(SUMPRODUCT((危旧房屋改造项目分表!$B$6:$B$353=$E$3)*(危旧房屋改造项目分表!$AD$6:AD$353="是")*(危旧房屋改造项目分表!$O$6:$O$353="棚改征收")*(危旧房屋改造项目分表!$V$6:$V$353&gt;=61%)*(危旧房屋改造项目分表!$V$6:$V$353&lt;=89%)*危旧房屋改造项目分表!$L$6:$L$353),"")+SUMPRODUCT((危旧房屋改造项目分表!$B$6:$B$353=$E$3)*(危旧房屋改造项目分表!$AD$6:AD$353="是")*(危旧房屋改造项目分表!$O$6:$O$353="拆除补偿")*(危旧房屋改造项目分表!$V$6:$V$353&gt;=61%)*(危旧房屋改造项目分表!$V$6:$V$353&lt;=89%)*危旧房屋改造项目分表!$L$6:$L$353)</f>
        <v>0</v>
      </c>
      <c r="F61" s="130">
        <f>IFERROR(SUMPRODUCT((危旧房屋改造项目分表!$B$6:$B$353=$F$3)*(危旧房屋改造项目分表!$AD$6:AD$353="是")*(危旧房屋改造项目分表!$O$6:$O$353="棚改征收")*(危旧房屋改造项目分表!$V$6:$V$353&gt;=61%)*(危旧房屋改造项目分表!$V$6:$V$353&lt;=89%)*危旧房屋改造项目分表!$L$6:$L$353),"")+SUMPRODUCT((危旧房屋改造项目分表!$B$6:$B$353=$F$3)*(危旧房屋改造项目分表!$AD$6:AD$353="是")*(危旧房屋改造项目分表!$O$6:$O$353="拆除补偿")*(危旧房屋改造项目分表!$V$6:$V$353&gt;=61%)*(危旧房屋改造项目分表!$V$6:$V$353&lt;=89%)*危旧房屋改造项目分表!$L$6:$L$353)</f>
        <v>0</v>
      </c>
      <c r="G61" s="130">
        <f>IFERROR(SUMPRODUCT((危旧房屋改造项目分表!$B$6:$B$353=$G$3)*(危旧房屋改造项目分表!$AD$6:AD$353="是")*(危旧房屋改造项目分表!$O$6:$O$353="棚改征收")*(危旧房屋改造项目分表!$V$6:$V$353&gt;=61%)*(危旧房屋改造项目分表!$V$6:$V$353&lt;=89%)*危旧房屋改造项目分表!$L$6:$L$353),"")+SUMPRODUCT((危旧房屋改造项目分表!$B$6:$B$353=$G$3)*(危旧房屋改造项目分表!$AD$6:AD$353="是")*(危旧房屋改造项目分表!$O$6:$O$353="拆除补偿")*(危旧房屋改造项目分表!$V$6:$V$353&gt;=61%)*(危旧房屋改造项目分表!$V$6:$V$353&lt;=89%)*危旧房屋改造项目分表!$L$6:$L$353)</f>
        <v>0</v>
      </c>
      <c r="H61" s="130">
        <f>IFERROR(SUMPRODUCT((危旧房屋改造项目分表!$B$6:$B$353=$H$3)*(危旧房屋改造项目分表!$AD$6:AD$353="是")*(危旧房屋改造项目分表!$O$6:$O$353="棚改征收")*(危旧房屋改造项目分表!$V$6:$V$353&gt;=61%)*(危旧房屋改造项目分表!$V$6:$V$353&lt;=89%)*危旧房屋改造项目分表!$L$6:$L$353),"")+SUMPRODUCT((危旧房屋改造项目分表!$B$6:$B$353=$H$3)*(危旧房屋改造项目分表!$AD$6:AD$353="是")*(危旧房屋改造项目分表!$O$6:$O$353="拆除补偿")*(危旧房屋改造项目分表!$V$6:$V$353&gt;=61%)*(危旧房屋改造项目分表!$V$6:$V$353&lt;=89%)*危旧房屋改造项目分表!$L$6:$L$353)</f>
        <v>0</v>
      </c>
      <c r="I61" s="130">
        <f>IFERROR(SUMPRODUCT((危旧房屋改造项目分表!$B$6:$B$353=$I$3)*(危旧房屋改造项目分表!$AD$6:AD$353="是")*(危旧房屋改造项目分表!$O$6:$O$353="棚改征收")*(危旧房屋改造项目分表!$V$6:$V$353&gt;=61%)*(危旧房屋改造项目分表!$V$6:$V$353&lt;=89%)*危旧房屋改造项目分表!$L$6:$L$353),"")+SUMPRODUCT((危旧房屋改造项目分表!$B$6:$B$353=$I$3)*(危旧房屋改造项目分表!$AD$6:AD$353="是")*(危旧房屋改造项目分表!$O$6:$O$353="拆除补偿")*(危旧房屋改造项目分表!$V$6:$V$353&gt;=61%)*(危旧房屋改造项目分表!$V$6:$V$353&lt;=89%)*危旧房屋改造项目分表!$L$6:$L$353)</f>
        <v>0</v>
      </c>
      <c r="J61" s="130">
        <f>IFERROR(SUMPRODUCT((危旧房屋改造项目分表!$B$6:$B$353=$J$3)*(危旧房屋改造项目分表!$AD$6:AD$353="是")*(危旧房屋改造项目分表!$O$6:$O$353="棚改征收")*(危旧房屋改造项目分表!$V$6:$V$353&gt;=61%)*(危旧房屋改造项目分表!$V$6:$V$353&lt;=89%)*危旧房屋改造项目分表!$L$6:$L$353),"")+SUMPRODUCT((危旧房屋改造项目分表!$B$6:$B$353=$J$3)*(危旧房屋改造项目分表!$AD$6:AD$353="是")*(危旧房屋改造项目分表!$O$6:$O$353="拆除补偿")*(危旧房屋改造项目分表!$V$6:$V$353&gt;=61%)*(危旧房屋改造项目分表!$V$6:$V$353&lt;=89%)*危旧房屋改造项目分表!$L$6:$L$353)</f>
        <v>0</v>
      </c>
      <c r="K61" s="130">
        <f>IFERROR(SUMPRODUCT((危旧房屋改造项目分表!$B$6:$B$353=$K$3)*(危旧房屋改造项目分表!$AD$6:AD$353="是")*(危旧房屋改造项目分表!$AD$6:AD$353="是")*(危旧房屋改造项目分表!$O$6:$O$353="棚改征收")*(危旧房屋改造项目分表!$V$6:$V$353&gt;=61%)*(危旧房屋改造项目分表!$V$6:$V$353&lt;=89%)*危旧房屋改造项目分表!$L$6:$L$353),"")+SUMPRODUCT((危旧房屋改造项目分表!$B$6:$B$353=$K$3)*(危旧房屋改造项目分表!$AD$6:AD$353="是")*(危旧房屋改造项目分表!$AD$6:AD$353="是")*(危旧房屋改造项目分表!$O$6:$O$353="拆除补偿")*(危旧房屋改造项目分表!$V$6:$V$353&gt;=61%)*(危旧房屋改造项目分表!$V$6:$V$353&lt;=89%)*危旧房屋改造项目分表!$L$6:$L$353)</f>
        <v>0</v>
      </c>
      <c r="L61" s="130">
        <f>IFERROR(SUMPRODUCT((危旧房屋改造项目分表!$B$6:$B$353=$L$3)*(危旧房屋改造项目分表!$AD$6:AD$353="是")*(危旧房屋改造项目分表!$O$6:$O$353="棚改征收")*(危旧房屋改造项目分表!$V$6:$V$353&gt;=61%)*(危旧房屋改造项目分表!$V$6:$V$353&lt;=89%)*危旧房屋改造项目分表!$L$6:$L$353),"")+SUMPRODUCT((危旧房屋改造项目分表!$B$6:$B$353=$L$3)*(危旧房屋改造项目分表!$AD$6:AD$353="是")*(危旧房屋改造项目分表!$O$6:$O$353="拆除补偿")*(危旧房屋改造项目分表!$V$6:$V$353&gt;=61%)*(危旧房屋改造项目分表!$V$6:$V$353&lt;=89%)*危旧房屋改造项目分表!$L$6:$L$353)</f>
        <v>0</v>
      </c>
      <c r="M61" s="130">
        <f>SUM($D$61:$L$61)</f>
        <v>0</v>
      </c>
      <c r="N61" s="149" t="str">
        <f>IF(ISERROR(M61/$M$67),"",M61/$M$67)</f>
        <v/>
      </c>
    </row>
    <row r="62" ht="14.85" customHeight="1" spans="1:14">
      <c r="A62" s="145"/>
      <c r="B62" s="129" t="s">
        <v>32</v>
      </c>
      <c r="C62" s="129" t="s">
        <v>17</v>
      </c>
      <c r="D62" s="130">
        <f>IFERROR(SUMPRODUCT((危旧房屋改造项目分表!$B$6:$B$353=$D$3)*(危旧房屋改造项目分表!$AD$6:AD$353="是")*(危旧房屋改造项目分表!$O$6:$O$353="棚改征收")*(危旧房屋改造项目分表!$V$6:$V$353&gt;=90%)*危旧房屋改造项目分表!$AF$6:$AF$353),"")+SUMPRODUCT((危旧房屋改造项目分表!$B$6:$B$353=$D$3)*(危旧房屋改造项目分表!$AD$6:AD$353="是")*(危旧房屋改造项目分表!$O$6:$O$353="拆除补偿")*(危旧房屋改造项目分表!$V$6:$V$353&gt;=90%)*危旧房屋改造项目分表!$AF$6:$AF$353)</f>
        <v>0</v>
      </c>
      <c r="E62" s="130">
        <f>IFERROR(SUMPRODUCT((危旧房屋改造项目分表!$B$6:$B$353=$E$3)*(危旧房屋改造项目分表!$AD$6:AD$353="是")*(危旧房屋改造项目分表!$O$6:$O$353="棚改征收")*(危旧房屋改造项目分表!$V$6:$V$353&gt;=90%)*危旧房屋改造项目分表!$AF$6:$AF$353),"")+SUMPRODUCT((危旧房屋改造项目分表!$B$6:$B$353=$E$3)*(危旧房屋改造项目分表!$AD$6:AD$353="是")*(危旧房屋改造项目分表!$O$6:$O$353="拆除补偿")*(危旧房屋改造项目分表!$V$6:$V$353&gt;=90%)*危旧房屋改造项目分表!$AF$6:$AF$353)</f>
        <v>0</v>
      </c>
      <c r="F62" s="130">
        <f>IFERROR(SUMPRODUCT((危旧房屋改造项目分表!$B$6:$B$353=$F$3)*(危旧房屋改造项目分表!$AD$6:AD$353="是")*(危旧房屋改造项目分表!$O$6:$O$353="棚改征收")*(危旧房屋改造项目分表!$V$6:$V$353&gt;=90%)*危旧房屋改造项目分表!$AF$6:$AF$353),"")+SUMPRODUCT((危旧房屋改造项目分表!$B$6:$B$353=$F$3)*(危旧房屋改造项目分表!$AD$6:AD$353="是")*(危旧房屋改造项目分表!$O$6:$O$353="拆除补偿")*(危旧房屋改造项目分表!$V$6:$V$353&gt;=90%)*危旧房屋改造项目分表!$AF$6:$AF$353)</f>
        <v>0</v>
      </c>
      <c r="G62" s="130">
        <f>IFERROR(SUMPRODUCT((危旧房屋改造项目分表!$B$6:$B$353=$G$3)*(危旧房屋改造项目分表!$AD$6:AD$353="是")*(危旧房屋改造项目分表!$O$6:$O$353="棚改征收")*(危旧房屋改造项目分表!$V$6:$V$353&gt;=90%)*危旧房屋改造项目分表!$AF$6:$AF$353),"")+SUMPRODUCT((危旧房屋改造项目分表!$B$6:$B$353=$G$3)*(危旧房屋改造项目分表!$AD$6:AD$353="是")*(危旧房屋改造项目分表!$O$6:$O$353="拆除补偿")*(危旧房屋改造项目分表!$V$6:$V$353&gt;=90%)*危旧房屋改造项目分表!$AF$6:$AF$353)</f>
        <v>0</v>
      </c>
      <c r="H62" s="130">
        <f>IFERROR(SUMPRODUCT((危旧房屋改造项目分表!$B$6:$B$353=$H$3)*(危旧房屋改造项目分表!$AD$6:AD$353="是")*(危旧房屋改造项目分表!$O$6:$O$353="棚改征收")*(危旧房屋改造项目分表!$V$6:$V$353&gt;=90%)*危旧房屋改造项目分表!$AF$6:$AF$353),"")+SUMPRODUCT((危旧房屋改造项目分表!$B$6:$B$353=$H$3)*(危旧房屋改造项目分表!$AD$6:AD$353="是")*(危旧房屋改造项目分表!$O$6:$O$353="拆除补偿")*(危旧房屋改造项目分表!$V$6:$V$353&gt;=90%)*危旧房屋改造项目分表!$AF$6:$AF$353)</f>
        <v>0</v>
      </c>
      <c r="I62" s="130">
        <f>IFERROR(SUMPRODUCT((危旧房屋改造项目分表!$B$6:$B$353=$I$3)*(危旧房屋改造项目分表!$AD$6:AD$353="是")*(危旧房屋改造项目分表!$O$6:$O$353="棚改征收")*(危旧房屋改造项目分表!$V$6:$V$353&gt;=90%)*危旧房屋改造项目分表!$AF$6:$AF$353),"")+SUMPRODUCT((危旧房屋改造项目分表!$B$6:$B$353=$I$3)*(危旧房屋改造项目分表!$AD$6:AD$353="是")*(危旧房屋改造项目分表!$O$6:$O$353="拆除补偿")*(危旧房屋改造项目分表!$V$6:$V$353&gt;=90%)*危旧房屋改造项目分表!$AF$6:$AF$353)</f>
        <v>0</v>
      </c>
      <c r="J62" s="130">
        <f>IFERROR(SUMPRODUCT((危旧房屋改造项目分表!$B$6:$B$353=$J$3)*(危旧房屋改造项目分表!$AD$6:AD$353="是")*(危旧房屋改造项目分表!$O$6:$O$353="棚改征收")*(危旧房屋改造项目分表!$V$6:$V$353&gt;=90%)*危旧房屋改造项目分表!$AF$6:$AF$353),"")+SUMPRODUCT((危旧房屋改造项目分表!$B$6:$B$353=$J$3)*(危旧房屋改造项目分表!$AD$6:AD$353="是")*(危旧房屋改造项目分表!$O$6:$O$353="拆除补偿")*(危旧房屋改造项目分表!$V$6:$V$353&gt;=90%)*危旧房屋改造项目分表!$AF$6:$AF$353)</f>
        <v>0</v>
      </c>
      <c r="K62" s="130">
        <f>IFERROR(SUMPRODUCT((危旧房屋改造项目分表!$B$6:$B$353=$K$3)*(危旧房屋改造项目分表!$AD$6:AD$353="是")*(危旧房屋改造项目分表!$O$6:$O$353="棚改征收")*(危旧房屋改造项目分表!$V$6:$V$353&gt;=90%)*危旧房屋改造项目分表!$AF$6:$AF$353),"")+SUMPRODUCT((危旧房屋改造项目分表!$B$6:$B$353=$K$3)*(危旧房屋改造项目分表!$AD$6:AD$353="是")*(危旧房屋改造项目分表!$O$6:$O$353="拆除补偿")*(危旧房屋改造项目分表!$V$6:$V$353&gt;=90%)*危旧房屋改造项目分表!$AF$6:$AF$353)</f>
        <v>0</v>
      </c>
      <c r="L62" s="130">
        <f>IFERROR(SUMPRODUCT((危旧房屋改造项目分表!$B$6:$B$353=$L$3)*(危旧房屋改造项目分表!$AD$6:AD$353="是")*(危旧房屋改造项目分表!$O$6:$O$353="棚改征收")*(危旧房屋改造项目分表!$V$6:$V$353&gt;=90%)*危旧房屋改造项目分表!$AF$6:$AF$353),"")+SUMPRODUCT((危旧房屋改造项目分表!$B$6:$B$353=$L$3)*(危旧房屋改造项目分表!$AD$6:AD$353="是")*(危旧房屋改造项目分表!$O$6:$O$353="拆除补偿")*(危旧房屋改造项目分表!$V$6:$V$353&gt;=90%)*危旧房屋改造项目分表!$AF$6:$AF$353)</f>
        <v>0</v>
      </c>
      <c r="M62" s="130">
        <f>SUM($D$62:$L$62)</f>
        <v>0</v>
      </c>
      <c r="N62" s="149" t="str">
        <f>IF(ISERROR(M62/$M$65),"",M62/$M$65)</f>
        <v/>
      </c>
    </row>
    <row r="63" ht="14.85" customHeight="1" spans="1:14">
      <c r="A63" s="145"/>
      <c r="B63" s="129"/>
      <c r="C63" s="129" t="s">
        <v>18</v>
      </c>
      <c r="D63" s="130">
        <f>IFERROR(SUMPRODUCT((危旧房屋改造项目分表!$B$6:$B$353=$D$3)*(危旧房屋改造项目分表!$AD$6:AD$353="是")*(危旧房屋改造项目分表!$O$6:$O$353="棚改征收")*(危旧房屋改造项目分表!$V$6:$V$353&gt;=90%)*危旧房屋改造项目分表!$K$6:$K$353),"")+SUMPRODUCT((危旧房屋改造项目分表!$B$6:$B$353=$D$3)*(危旧房屋改造项目分表!$AD$6:AD$353="是")*(危旧房屋改造项目分表!$O$6:$O$353="拆除补偿")*(危旧房屋改造项目分表!$V$6:$V$353&gt;=90%)*危旧房屋改造项目分表!$K$6:$K$353)</f>
        <v>0</v>
      </c>
      <c r="E63" s="130">
        <f>IFERROR(SUMPRODUCT((危旧房屋改造项目分表!$B$6:$B$353=$E$3)*(危旧房屋改造项目分表!$AD$6:AD$353="是")*(危旧房屋改造项目分表!$O$6:$O$353="棚改征收")*(危旧房屋改造项目分表!$V$6:$V$353&gt;=90%)*危旧房屋改造项目分表!$K$6:$K$353),"")+SUMPRODUCT((危旧房屋改造项目分表!$B$6:$B$353=$E$3)*(危旧房屋改造项目分表!$AD$6:AD$353="是")*(危旧房屋改造项目分表!$O$6:$O$353="拆除补偿")*(危旧房屋改造项目分表!$V$6:$V$353&gt;=90%)*危旧房屋改造项目分表!$K$6:$K$353)</f>
        <v>0</v>
      </c>
      <c r="F63" s="130">
        <f>IFERROR(SUMPRODUCT((危旧房屋改造项目分表!$B$6:$B$353=$F$3)*(危旧房屋改造项目分表!$AD$6:AD$353="是")*(危旧房屋改造项目分表!$O$6:$O$353="棚改征收")*(危旧房屋改造项目分表!$V$6:$V$353&gt;=90%)*危旧房屋改造项目分表!$K$6:$K$353),"")+SUMPRODUCT((危旧房屋改造项目分表!$B$6:$B$353=$F$3)*(危旧房屋改造项目分表!$AD$6:AD$353="是")*(危旧房屋改造项目分表!$O$6:$O$353="拆除补偿")*(危旧房屋改造项目分表!$V$6:$V$353&gt;=90%)*危旧房屋改造项目分表!$K$6:$K$353)</f>
        <v>0</v>
      </c>
      <c r="G63" s="130">
        <f>IFERROR(SUMPRODUCT((危旧房屋改造项目分表!$B$6:$B$353=$G$3)*(危旧房屋改造项目分表!$AD$6:AD$353="是")*(危旧房屋改造项目分表!$O$6:$O$353="棚改征收")*(危旧房屋改造项目分表!$V$6:$V$353&gt;=90%)*危旧房屋改造项目分表!$K$6:$K$353),"")+SUMPRODUCT((危旧房屋改造项目分表!$B$6:$B$353=$G$3)*(危旧房屋改造项目分表!$AD$6:AD$353="是")*(危旧房屋改造项目分表!$O$6:$O$353="拆除补偿")*(危旧房屋改造项目分表!$V$6:$V$353&gt;=90%)*危旧房屋改造项目分表!$K$6:$K$353)</f>
        <v>0</v>
      </c>
      <c r="H63" s="130">
        <f>IFERROR(SUMPRODUCT((危旧房屋改造项目分表!$B$6:$B$353=$H$3)*(危旧房屋改造项目分表!$AD$6:AD$353="是")*(危旧房屋改造项目分表!$O$6:$O$353="棚改征收")*(危旧房屋改造项目分表!$V$6:$V$353&gt;=90%)*危旧房屋改造项目分表!$K$6:$K$353),"")+SUMPRODUCT((危旧房屋改造项目分表!$B$6:$B$353=$H$3)*(危旧房屋改造项目分表!$AD$6:AD$353="是")*(危旧房屋改造项目分表!$O$6:$O$353="拆除补偿")*(危旧房屋改造项目分表!$V$6:$V$353&gt;=90%)*危旧房屋改造项目分表!$K$6:$K$353)</f>
        <v>0</v>
      </c>
      <c r="I63" s="130">
        <f>IFERROR(SUMPRODUCT((危旧房屋改造项目分表!$B$6:$B$353=$I$3)*(危旧房屋改造项目分表!$AD$6:AD$353="是")*(危旧房屋改造项目分表!$O$6:$O$353="棚改征收")*(危旧房屋改造项目分表!$V$6:$V$353&gt;=90%)*危旧房屋改造项目分表!$K$6:$K$353),"")+SUMPRODUCT((危旧房屋改造项目分表!$B$6:$B$353=$I$3)*(危旧房屋改造项目分表!$AD$6:AD$353="是")*(危旧房屋改造项目分表!$O$6:$O$353="拆除补偿")*(危旧房屋改造项目分表!$V$6:$V$353&gt;=90%)*危旧房屋改造项目分表!$K$6:$K$353)</f>
        <v>0</v>
      </c>
      <c r="J63" s="130">
        <f>IFERROR(SUMPRODUCT((危旧房屋改造项目分表!$B$6:$B$353=$J$3)*(危旧房屋改造项目分表!$AD$6:AD$353="是")*(危旧房屋改造项目分表!$O$6:$O$353="棚改征收")*(危旧房屋改造项目分表!$V$6:$V$353&gt;=90%)*危旧房屋改造项目分表!$K$6:$K$353),"")+SUMPRODUCT((危旧房屋改造项目分表!$B$6:$B$353=$J$3)*(危旧房屋改造项目分表!$AD$6:AD$353="是")*(危旧房屋改造项目分表!$O$6:$O$353="拆除补偿")*(危旧房屋改造项目分表!$V$6:$V$353&gt;=90%)*危旧房屋改造项目分表!$K$6:$K$353)</f>
        <v>0</v>
      </c>
      <c r="K63" s="130">
        <f>IFERROR(SUMPRODUCT((危旧房屋改造项目分表!$B$6:$B$353=$K$3)*(危旧房屋改造项目分表!$AD$6:AD$353="是")*(危旧房屋改造项目分表!$O$6:$O$353="棚改征收")*(危旧房屋改造项目分表!$V$6:$V$353&gt;=90%)*危旧房屋改造项目分表!$K$6:$K$353),"")+SUMPRODUCT((危旧房屋改造项目分表!$B$6:$B$353=$K$3)*(危旧房屋改造项目分表!$AD$6:AD$353="是")*(危旧房屋改造项目分表!$O$6:$O$353="拆除补偿")*(危旧房屋改造项目分表!$V$6:$V$353&gt;=90%)*危旧房屋改造项目分表!$K$6:$K$353)</f>
        <v>0</v>
      </c>
      <c r="L63" s="130">
        <f>IFERROR(SUMPRODUCT((危旧房屋改造项目分表!$B$6:$B$353=$L$3)*(危旧房屋改造项目分表!$AD$6:AD$353="是")*(危旧房屋改造项目分表!$O$6:$O$353="棚改征收")*(危旧房屋改造项目分表!$V$6:$V$353&gt;=90%)*危旧房屋改造项目分表!$K$6:$K$353),"")+SUMPRODUCT((危旧房屋改造项目分表!$B$6:$B$353=$L$3)*(危旧房屋改造项目分表!$AD$6:AD$353="是")*(危旧房屋改造项目分表!$O$6:$O$353="拆除补偿")*(危旧房屋改造项目分表!$V$6:$V$353&gt;=90%)*危旧房屋改造项目分表!$K$6:$K$353)</f>
        <v>0</v>
      </c>
      <c r="M63" s="130">
        <f>SUM($D$63:$L$63)</f>
        <v>0</v>
      </c>
      <c r="N63" s="149" t="str">
        <f>IF(ISERROR(M63/$M$66),"",M63/$M$66)</f>
        <v/>
      </c>
    </row>
    <row r="64" ht="14.85" customHeight="1" spans="1:14">
      <c r="A64" s="145"/>
      <c r="B64" s="129"/>
      <c r="C64" s="129" t="s">
        <v>19</v>
      </c>
      <c r="D64" s="130">
        <f>IFERROR(SUMPRODUCT((危旧房屋改造项目分表!$B$6:$B$353=$D$3)*(危旧房屋改造项目分表!$AD$6:AD$353="是")*(危旧房屋改造项目分表!$O$6:$O$353="棚改征收")*(危旧房屋改造项目分表!$V$6:$V$353&gt;=90%)*危旧房屋改造项目分表!$L$6:$L$353),"")+SUMPRODUCT((危旧房屋改造项目分表!$B$6:$B$353=$D$3)*(危旧房屋改造项目分表!$AD$6:AD$353="是")*(危旧房屋改造项目分表!$O$6:$O$353="拆除补偿")*(危旧房屋改造项目分表!$V$6:$V$353&gt;=90%)*危旧房屋改造项目分表!$L$6:$L$353)</f>
        <v>0</v>
      </c>
      <c r="E64" s="130">
        <f>IFERROR(SUMPRODUCT((危旧房屋改造项目分表!$B$6:$B$353=$E$3)*(危旧房屋改造项目分表!$AD$6:AD$353="是")*(危旧房屋改造项目分表!$O$6:$O$353="棚改征收")*(危旧房屋改造项目分表!$V$6:$V$353&gt;=90%)*危旧房屋改造项目分表!$L$6:$L$353),"")+SUMPRODUCT((危旧房屋改造项目分表!$B$6:$B$353=$E$3)*(危旧房屋改造项目分表!$AD$6:AD$353="是")*(危旧房屋改造项目分表!$O$6:$O$353="拆除补偿")*(危旧房屋改造项目分表!$V$6:$V$353&gt;=90%)*危旧房屋改造项目分表!$L$6:$L$353)</f>
        <v>0</v>
      </c>
      <c r="F64" s="130">
        <f>IFERROR(SUMPRODUCT((危旧房屋改造项目分表!$B$6:$B$353=$F$3)*(危旧房屋改造项目分表!$AD$6:AD$353="是")*(危旧房屋改造项目分表!$O$6:$O$353="棚改征收")*(危旧房屋改造项目分表!$V$6:$V$353&gt;=90%)*危旧房屋改造项目分表!$L$6:$L$353),"")+SUMPRODUCT((危旧房屋改造项目分表!$B$6:$B$353=$F$3)*(危旧房屋改造项目分表!$AD$6:AD$353="是")*(危旧房屋改造项目分表!$O$6:$O$353="拆除补偿")*(危旧房屋改造项目分表!$V$6:$V$353&gt;=90%)*危旧房屋改造项目分表!$L$6:$L$353)</f>
        <v>0</v>
      </c>
      <c r="G64" s="130">
        <f>IFERROR(SUMPRODUCT((危旧房屋改造项目分表!$B$6:$B$353=$G$3)*(危旧房屋改造项目分表!$AD$6:AD$353="是")*(危旧房屋改造项目分表!$O$6:$O$353="棚改征收")*(危旧房屋改造项目分表!$V$6:$V$353&gt;=90%)*危旧房屋改造项目分表!$L$6:$L$353),"")+SUMPRODUCT((危旧房屋改造项目分表!$B$6:$B$353=$G$3)*(危旧房屋改造项目分表!$AD$6:AD$353="是")*(危旧房屋改造项目分表!$O$6:$O$353="拆除补偿")*(危旧房屋改造项目分表!$V$6:$V$353&gt;=90%)*危旧房屋改造项目分表!$L$6:$L$353)</f>
        <v>0</v>
      </c>
      <c r="H64" s="130">
        <f>IFERROR(SUMPRODUCT((危旧房屋改造项目分表!$B$6:$B$353=$H$3)*(危旧房屋改造项目分表!$AD$6:AD$353="是")*(危旧房屋改造项目分表!$O$6:$O$353="棚改征收")*(危旧房屋改造项目分表!$V$6:$V$353&gt;=90%)*危旧房屋改造项目分表!$L$6:$L$353),"")+SUMPRODUCT((危旧房屋改造项目分表!$B$6:$B$353=$H$3)*(危旧房屋改造项目分表!$AD$6:AD$353="是")*(危旧房屋改造项目分表!$O$6:$O$353="拆除补偿")*(危旧房屋改造项目分表!$V$6:$V$353&gt;=90%)*危旧房屋改造项目分表!$L$6:$L$353)</f>
        <v>0</v>
      </c>
      <c r="I64" s="130">
        <f>IFERROR(SUMPRODUCT((危旧房屋改造项目分表!$B$6:$B$353=$I$3)*(危旧房屋改造项目分表!$AD$6:AD$353="是")*(危旧房屋改造项目分表!$O$6:$O$353="棚改征收")*(危旧房屋改造项目分表!$V$6:$V$353&gt;=90%)*危旧房屋改造项目分表!$L$6:$L$353),"")+SUMPRODUCT((危旧房屋改造项目分表!$B$6:$B$353=$I$3)*(危旧房屋改造项目分表!$AD$6:AD$353="是")*(危旧房屋改造项目分表!$O$6:$O$353="拆除补偿")*(危旧房屋改造项目分表!$V$6:$V$353&gt;=90%)*危旧房屋改造项目分表!$L$6:$L$353)</f>
        <v>0</v>
      </c>
      <c r="J64" s="130">
        <f>IFERROR(SUMPRODUCT((危旧房屋改造项目分表!$B$6:$B$353=$J$3)*(危旧房屋改造项目分表!$O$6:$O$353="棚改征收")*(危旧房屋改造项目分表!$V$6:$V$353&gt;=90%)*危旧房屋改造项目分表!$L$6:$L$353),"")+SUMPRODUCT((危旧房屋改造项目分表!$B$6:$B$353=$J$3)*(危旧房屋改造项目分表!$O$6:$O$353="拆除补偿")*(危旧房屋改造项目分表!$V$6:$V$353&gt;=90%)*危旧房屋改造项目分表!$L$6:$L$353)</f>
        <v>0</v>
      </c>
      <c r="K64" s="130">
        <f>IFERROR(SUMPRODUCT((危旧房屋改造项目分表!$B$6:$B$353=$K$3)*(危旧房屋改造项目分表!$AD$6:AD$353="是")*(危旧房屋改造项目分表!$O$6:$O$353="棚改征收")*(危旧房屋改造项目分表!$V$6:$V$353&gt;=90%)*危旧房屋改造项目分表!$L$6:$L$353),"")+SUMPRODUCT((危旧房屋改造项目分表!$B$6:$B$353=$K$3)*(危旧房屋改造项目分表!$AD$6:AD$353="是")*(危旧房屋改造项目分表!$O$6:$O$353="拆除补偿")*(危旧房屋改造项目分表!$V$6:$V$353&gt;=90%)*危旧房屋改造项目分表!$L$6:$L$353)</f>
        <v>0</v>
      </c>
      <c r="L64" s="130">
        <f>IFERROR(SUMPRODUCT((危旧房屋改造项目分表!$B$6:$B$353=$L$3)*(危旧房屋改造项目分表!$AD$6:AD$353="是")*(危旧房屋改造项目分表!$O$6:$O$353="棚改征收")*(危旧房屋改造项目分表!$V$6:$V$353&gt;=90%)*危旧房屋改造项目分表!$L$6:$L$353),"")+SUMPRODUCT((危旧房屋改造项目分表!$B$6:$B$353=$L$3)*(危旧房屋改造项目分表!$AD$6:AD$353="是")*(危旧房屋改造项目分表!$O$6:$O$353="拆除补偿")*(危旧房屋改造项目分表!$V$6:$V$353&gt;=90%)*危旧房屋改造项目分表!$L$6:$L$353)</f>
        <v>0</v>
      </c>
      <c r="M64" s="130">
        <f>SUM($D$64:$L$64)</f>
        <v>0</v>
      </c>
      <c r="N64" s="149" t="str">
        <f>IF(ISERROR(M64/$M$67),"",M64/$M$67)</f>
        <v/>
      </c>
    </row>
    <row r="65" ht="14.85" customHeight="1" spans="1:14">
      <c r="A65" s="145"/>
      <c r="B65" s="129" t="s">
        <v>26</v>
      </c>
      <c r="C65" s="129" t="s">
        <v>17</v>
      </c>
      <c r="D65" s="141">
        <f t="shared" ref="D65:L65" si="10">D56+D59+D62+D53</f>
        <v>0</v>
      </c>
      <c r="E65" s="141">
        <f t="shared" si="10"/>
        <v>0</v>
      </c>
      <c r="F65" s="141">
        <f t="shared" si="10"/>
        <v>0</v>
      </c>
      <c r="G65" s="141">
        <f t="shared" si="10"/>
        <v>0</v>
      </c>
      <c r="H65" s="141">
        <f t="shared" si="10"/>
        <v>0</v>
      </c>
      <c r="I65" s="141">
        <f t="shared" si="10"/>
        <v>0</v>
      </c>
      <c r="J65" s="141">
        <f t="shared" si="10"/>
        <v>0</v>
      </c>
      <c r="K65" s="141">
        <f t="shared" si="10"/>
        <v>0</v>
      </c>
      <c r="L65" s="141">
        <f t="shared" si="10"/>
        <v>0</v>
      </c>
      <c r="M65" s="130">
        <f t="shared" ref="M65:M76" si="11">SUM(D65:L65)</f>
        <v>0</v>
      </c>
      <c r="N65" s="149" t="str">
        <f>IF(ISERROR(M65/$M$4),"",M65/$M$4)</f>
        <v/>
      </c>
    </row>
    <row r="66" ht="14.85" customHeight="1" spans="1:14">
      <c r="A66" s="145"/>
      <c r="B66" s="129"/>
      <c r="C66" s="129" t="s">
        <v>18</v>
      </c>
      <c r="D66" s="141">
        <f t="shared" ref="D66:L66" si="12">D57+D60+D63+D54</f>
        <v>0</v>
      </c>
      <c r="E66" s="141">
        <f t="shared" si="12"/>
        <v>0</v>
      </c>
      <c r="F66" s="141">
        <f t="shared" si="12"/>
        <v>0</v>
      </c>
      <c r="G66" s="141">
        <f t="shared" si="12"/>
        <v>0</v>
      </c>
      <c r="H66" s="141">
        <f t="shared" si="12"/>
        <v>0</v>
      </c>
      <c r="I66" s="141">
        <f t="shared" si="12"/>
        <v>0</v>
      </c>
      <c r="J66" s="141">
        <f t="shared" si="12"/>
        <v>0</v>
      </c>
      <c r="K66" s="141">
        <f t="shared" si="12"/>
        <v>0</v>
      </c>
      <c r="L66" s="141">
        <f t="shared" si="12"/>
        <v>0</v>
      </c>
      <c r="M66" s="130">
        <f t="shared" si="11"/>
        <v>0</v>
      </c>
      <c r="N66" s="149" t="str">
        <f>IF(ISERROR(M66/$M$5),"",M66/$M$5)</f>
        <v/>
      </c>
    </row>
    <row r="67" ht="14.85" customHeight="1" spans="1:14">
      <c r="A67" s="150"/>
      <c r="B67" s="129"/>
      <c r="C67" s="129" t="s">
        <v>19</v>
      </c>
      <c r="D67" s="143">
        <f t="shared" ref="D67:L67" si="13">D58+D61+D64+D55</f>
        <v>0</v>
      </c>
      <c r="E67" s="143">
        <f t="shared" si="13"/>
        <v>0</v>
      </c>
      <c r="F67" s="143">
        <f t="shared" si="13"/>
        <v>0</v>
      </c>
      <c r="G67" s="143">
        <f t="shared" si="13"/>
        <v>0</v>
      </c>
      <c r="H67" s="143">
        <f t="shared" si="13"/>
        <v>0</v>
      </c>
      <c r="I67" s="143">
        <f t="shared" si="13"/>
        <v>0</v>
      </c>
      <c r="J67" s="143">
        <f t="shared" si="13"/>
        <v>0</v>
      </c>
      <c r="K67" s="143">
        <f t="shared" si="13"/>
        <v>0</v>
      </c>
      <c r="L67" s="143">
        <f t="shared" si="13"/>
        <v>0</v>
      </c>
      <c r="M67" s="130">
        <f t="shared" si="11"/>
        <v>0</v>
      </c>
      <c r="N67" s="149" t="str">
        <f>IF(ISERROR(M67/$M$6),"",M67/$M$6)</f>
        <v/>
      </c>
    </row>
    <row r="68" ht="14.85" customHeight="1" spans="1:14">
      <c r="A68" s="151" t="s">
        <v>33</v>
      </c>
      <c r="B68" s="136"/>
      <c r="C68" s="140" t="s">
        <v>17</v>
      </c>
      <c r="D68" s="130">
        <f t="shared" ref="D68:L68" si="14">D41+D26+D11+D56</f>
        <v>0</v>
      </c>
      <c r="E68" s="130">
        <f t="shared" si="14"/>
        <v>0</v>
      </c>
      <c r="F68" s="130">
        <f t="shared" si="14"/>
        <v>0</v>
      </c>
      <c r="G68" s="130">
        <f t="shared" si="14"/>
        <v>0</v>
      </c>
      <c r="H68" s="130">
        <f t="shared" si="14"/>
        <v>0</v>
      </c>
      <c r="I68" s="130">
        <f t="shared" si="14"/>
        <v>0</v>
      </c>
      <c r="J68" s="130">
        <f t="shared" si="14"/>
        <v>0</v>
      </c>
      <c r="K68" s="130">
        <f t="shared" si="14"/>
        <v>0</v>
      </c>
      <c r="L68" s="130">
        <f t="shared" si="14"/>
        <v>0</v>
      </c>
      <c r="M68" s="130">
        <f t="shared" si="11"/>
        <v>0</v>
      </c>
      <c r="N68" s="149" t="str">
        <f t="shared" ref="N68:N70" si="15">IF(ISERROR(M68/M4),"",M68/M4)</f>
        <v/>
      </c>
    </row>
    <row r="69" ht="14.85" customHeight="1" spans="1:14">
      <c r="A69" s="152"/>
      <c r="B69" s="138"/>
      <c r="C69" s="140" t="s">
        <v>18</v>
      </c>
      <c r="D69" s="130">
        <f t="shared" ref="D69:L69" si="16">D42+D27+D12+D57</f>
        <v>0</v>
      </c>
      <c r="E69" s="130">
        <f t="shared" si="16"/>
        <v>0</v>
      </c>
      <c r="F69" s="130">
        <f t="shared" si="16"/>
        <v>0</v>
      </c>
      <c r="G69" s="130">
        <f t="shared" si="16"/>
        <v>0</v>
      </c>
      <c r="H69" s="130">
        <f t="shared" si="16"/>
        <v>0</v>
      </c>
      <c r="I69" s="130">
        <f t="shared" si="16"/>
        <v>0</v>
      </c>
      <c r="J69" s="130">
        <f t="shared" si="16"/>
        <v>0</v>
      </c>
      <c r="K69" s="130">
        <f t="shared" si="16"/>
        <v>0</v>
      </c>
      <c r="L69" s="130">
        <f t="shared" si="16"/>
        <v>0</v>
      </c>
      <c r="M69" s="130">
        <f t="shared" si="11"/>
        <v>0</v>
      </c>
      <c r="N69" s="149" t="str">
        <f t="shared" si="15"/>
        <v/>
      </c>
    </row>
    <row r="70" ht="14.85" customHeight="1" spans="1:14">
      <c r="A70" s="153"/>
      <c r="B70" s="139"/>
      <c r="C70" s="140" t="s">
        <v>19</v>
      </c>
      <c r="D70" s="130">
        <f t="shared" ref="D70:L70" si="17">D43+D28+D13+D58</f>
        <v>0</v>
      </c>
      <c r="E70" s="130">
        <f t="shared" si="17"/>
        <v>0</v>
      </c>
      <c r="F70" s="130">
        <f t="shared" si="17"/>
        <v>0</v>
      </c>
      <c r="G70" s="130">
        <f t="shared" si="17"/>
        <v>0</v>
      </c>
      <c r="H70" s="130">
        <f t="shared" si="17"/>
        <v>0</v>
      </c>
      <c r="I70" s="130">
        <f t="shared" si="17"/>
        <v>0</v>
      </c>
      <c r="J70" s="130">
        <f t="shared" si="17"/>
        <v>0</v>
      </c>
      <c r="K70" s="130">
        <f t="shared" si="17"/>
        <v>0</v>
      </c>
      <c r="L70" s="130">
        <f t="shared" si="17"/>
        <v>0</v>
      </c>
      <c r="M70" s="130">
        <f t="shared" si="11"/>
        <v>0</v>
      </c>
      <c r="N70" s="149" t="str">
        <f t="shared" si="15"/>
        <v/>
      </c>
    </row>
    <row r="71" ht="14.85" customHeight="1" spans="1:14">
      <c r="A71" s="144" t="s">
        <v>34</v>
      </c>
      <c r="B71" s="129" t="s">
        <v>35</v>
      </c>
      <c r="C71" s="140" t="s">
        <v>17</v>
      </c>
      <c r="D71" s="130">
        <f t="shared" ref="D71:L71" si="18">D14+D29+D59+D56+D44</f>
        <v>0</v>
      </c>
      <c r="E71" s="130">
        <f t="shared" si="18"/>
        <v>0</v>
      </c>
      <c r="F71" s="130">
        <f t="shared" si="18"/>
        <v>0</v>
      </c>
      <c r="G71" s="130">
        <f t="shared" si="18"/>
        <v>0</v>
      </c>
      <c r="H71" s="130">
        <f t="shared" si="18"/>
        <v>0</v>
      </c>
      <c r="I71" s="130">
        <f t="shared" si="18"/>
        <v>0</v>
      </c>
      <c r="J71" s="130">
        <f t="shared" si="18"/>
        <v>0</v>
      </c>
      <c r="K71" s="130">
        <f t="shared" si="18"/>
        <v>0</v>
      </c>
      <c r="L71" s="130">
        <f t="shared" si="18"/>
        <v>0</v>
      </c>
      <c r="M71" s="130">
        <f t="shared" si="11"/>
        <v>0</v>
      </c>
      <c r="N71" s="149" t="str">
        <f>IF(ISERROR(M71/$M$4),"",M71/$M$4)</f>
        <v/>
      </c>
    </row>
    <row r="72" ht="14.85" customHeight="1" spans="1:14">
      <c r="A72" s="145"/>
      <c r="B72" s="129"/>
      <c r="C72" s="140" t="s">
        <v>18</v>
      </c>
      <c r="D72" s="130">
        <f t="shared" ref="D72:L72" si="19">D15+D30+D60+D57+D45</f>
        <v>0</v>
      </c>
      <c r="E72" s="130">
        <f t="shared" si="19"/>
        <v>0</v>
      </c>
      <c r="F72" s="130">
        <f t="shared" si="19"/>
        <v>0</v>
      </c>
      <c r="G72" s="130">
        <f t="shared" si="19"/>
        <v>0</v>
      </c>
      <c r="H72" s="130">
        <f t="shared" si="19"/>
        <v>0</v>
      </c>
      <c r="I72" s="130">
        <f t="shared" si="19"/>
        <v>0</v>
      </c>
      <c r="J72" s="130">
        <f t="shared" si="19"/>
        <v>0</v>
      </c>
      <c r="K72" s="130">
        <f t="shared" si="19"/>
        <v>0</v>
      </c>
      <c r="L72" s="130">
        <f t="shared" si="19"/>
        <v>0</v>
      </c>
      <c r="M72" s="130">
        <f t="shared" si="11"/>
        <v>0</v>
      </c>
      <c r="N72" s="149" t="str">
        <f>IF(ISERROR(M72/$M$5),"",M72/$M$5)</f>
        <v/>
      </c>
    </row>
    <row r="73" ht="14.85" customHeight="1" spans="1:14">
      <c r="A73" s="145"/>
      <c r="B73" s="129"/>
      <c r="C73" s="140" t="s">
        <v>19</v>
      </c>
      <c r="D73" s="130">
        <f t="shared" ref="D73:L73" si="20">D16+D31+D61+D58+D46</f>
        <v>0</v>
      </c>
      <c r="E73" s="130">
        <f t="shared" si="20"/>
        <v>0</v>
      </c>
      <c r="F73" s="130">
        <f t="shared" si="20"/>
        <v>0</v>
      </c>
      <c r="G73" s="130">
        <f t="shared" si="20"/>
        <v>0</v>
      </c>
      <c r="H73" s="130">
        <f t="shared" si="20"/>
        <v>0</v>
      </c>
      <c r="I73" s="130">
        <f t="shared" si="20"/>
        <v>0</v>
      </c>
      <c r="J73" s="130">
        <f t="shared" si="20"/>
        <v>0</v>
      </c>
      <c r="K73" s="130">
        <f t="shared" si="20"/>
        <v>0</v>
      </c>
      <c r="L73" s="130">
        <f t="shared" si="20"/>
        <v>0</v>
      </c>
      <c r="M73" s="130">
        <f t="shared" si="11"/>
        <v>0</v>
      </c>
      <c r="N73" s="149" t="str">
        <f>IF(ISERROR(M73/$M$6),"",M73/$M$6)</f>
        <v/>
      </c>
    </row>
    <row r="74" ht="14.85" customHeight="1" spans="1:14">
      <c r="A74" s="145"/>
      <c r="B74" s="154" t="s">
        <v>36</v>
      </c>
      <c r="C74" s="140" t="s">
        <v>17</v>
      </c>
      <c r="D74" s="130">
        <f t="shared" ref="D74:L74" si="21">D17+D32+D62+D47</f>
        <v>0</v>
      </c>
      <c r="E74" s="130">
        <f t="shared" si="21"/>
        <v>0</v>
      </c>
      <c r="F74" s="130">
        <f t="shared" si="21"/>
        <v>0</v>
      </c>
      <c r="G74" s="130">
        <f t="shared" si="21"/>
        <v>0</v>
      </c>
      <c r="H74" s="130">
        <f t="shared" si="21"/>
        <v>0</v>
      </c>
      <c r="I74" s="130">
        <f t="shared" si="21"/>
        <v>0</v>
      </c>
      <c r="J74" s="130">
        <f t="shared" si="21"/>
        <v>0</v>
      </c>
      <c r="K74" s="130">
        <f t="shared" si="21"/>
        <v>0</v>
      </c>
      <c r="L74" s="130">
        <f t="shared" si="21"/>
        <v>0</v>
      </c>
      <c r="M74" s="130">
        <f t="shared" si="11"/>
        <v>0</v>
      </c>
      <c r="N74" s="149" t="str">
        <f>IF(ISERROR(M74/$M$4),"",M74/$M$4)</f>
        <v/>
      </c>
    </row>
    <row r="75" ht="14.85" customHeight="1" spans="1:14">
      <c r="A75" s="145"/>
      <c r="B75" s="155"/>
      <c r="C75" s="140" t="s">
        <v>18</v>
      </c>
      <c r="D75" s="130">
        <f t="shared" ref="D75:L75" si="22">D18+D33+D63+D48</f>
        <v>0</v>
      </c>
      <c r="E75" s="130">
        <f t="shared" si="22"/>
        <v>0</v>
      </c>
      <c r="F75" s="130">
        <f t="shared" si="22"/>
        <v>0</v>
      </c>
      <c r="G75" s="130">
        <f t="shared" si="22"/>
        <v>0</v>
      </c>
      <c r="H75" s="130">
        <f t="shared" si="22"/>
        <v>0</v>
      </c>
      <c r="I75" s="130">
        <f t="shared" si="22"/>
        <v>0</v>
      </c>
      <c r="J75" s="130">
        <f t="shared" si="22"/>
        <v>0</v>
      </c>
      <c r="K75" s="130">
        <f t="shared" si="22"/>
        <v>0</v>
      </c>
      <c r="L75" s="130">
        <f t="shared" si="22"/>
        <v>0</v>
      </c>
      <c r="M75" s="130">
        <f t="shared" si="11"/>
        <v>0</v>
      </c>
      <c r="N75" s="149" t="str">
        <f>IF(ISERROR(M75/$M$5),"",M75/$M$5)</f>
        <v/>
      </c>
    </row>
    <row r="76" ht="14.85" customHeight="1" spans="1:14">
      <c r="A76" s="145"/>
      <c r="B76" s="155"/>
      <c r="C76" s="140" t="s">
        <v>19</v>
      </c>
      <c r="D76" s="130">
        <f t="shared" ref="D76:L76" si="23">D19+D34+D64+D49</f>
        <v>0</v>
      </c>
      <c r="E76" s="130">
        <f t="shared" si="23"/>
        <v>0</v>
      </c>
      <c r="F76" s="130">
        <f t="shared" si="23"/>
        <v>0</v>
      </c>
      <c r="G76" s="130">
        <f t="shared" si="23"/>
        <v>0</v>
      </c>
      <c r="H76" s="130">
        <f t="shared" si="23"/>
        <v>0</v>
      </c>
      <c r="I76" s="143">
        <f t="shared" si="23"/>
        <v>0</v>
      </c>
      <c r="J76" s="130">
        <f t="shared" si="23"/>
        <v>0</v>
      </c>
      <c r="K76" s="143">
        <f t="shared" si="23"/>
        <v>0</v>
      </c>
      <c r="L76" s="130">
        <f t="shared" si="23"/>
        <v>0</v>
      </c>
      <c r="M76" s="130">
        <f t="shared" si="11"/>
        <v>0</v>
      </c>
      <c r="N76" s="149" t="str">
        <f>IF(ISERROR(M76/$M$6),"",M76/$M$6)</f>
        <v/>
      </c>
    </row>
    <row r="77" ht="14.85" customHeight="1" spans="1:14">
      <c r="A77" s="145"/>
      <c r="B77" s="156"/>
      <c r="C77" s="140" t="s">
        <v>37</v>
      </c>
      <c r="D77" s="143">
        <f>SUMIFS(危旧房屋改造项目分表!$AC$6:$AC$353,危旧房屋改造项目分表!$B$6:$B$353,"芙蓉区",危旧房屋改造项目分表!$AD$6:AD$353,"是",危旧房屋改造项目分表!$V$6:$V$353,"&gt;=90%")+SUMIFS(危旧房屋改造项目分表!$AC$6:$AC$353,危旧房屋改造项目分表!$B$6:$B$353,"芙蓉区",危旧房屋改造项目分表!$AD$6:AD$353,"是",危旧房屋改造项目分表!$AB$6:$AB$353,"&gt;=90%")</f>
        <v>0</v>
      </c>
      <c r="E77" s="143">
        <f>SUMIFS(危旧房屋改造项目分表!$AC$6:$AC$353,危旧房屋改造项目分表!$B$6:$B$353,"天心区",危旧房屋改造项目分表!$AD$6:AD$353,"是",危旧房屋改造项目分表!$V$6:$V$353,"&gt;=90%")+SUMIFS(危旧房屋改造项目分表!$AC$6:$AC$353,危旧房屋改造项目分表!$B$6:$B$353,"天心区",危旧房屋改造项目分表!$AD$6:AD$353,"是",危旧房屋改造项目分表!$AB$6:$AB$353,"&gt;=90%")</f>
        <v>0</v>
      </c>
      <c r="F77" s="143">
        <f>SUMIFS(危旧房屋改造项目分表!$AC$6:$AC$353,危旧房屋改造项目分表!$B$6:$B$353,"岳麓区",危旧房屋改造项目分表!$AD$6:AD$353,"是",危旧房屋改造项目分表!$V$6:$V$353,"&gt;=90%")+SUMIFS(危旧房屋改造项目分表!$AC$6:$AC$353,危旧房屋改造项目分表!$B$6:$B$353,"岳麓区",危旧房屋改造项目分表!$AD$6:AD$353,"是",危旧房屋改造项目分表!$AB$6:$AB$353,"&gt;=90%")</f>
        <v>0</v>
      </c>
      <c r="G77" s="143">
        <f>SUMIFS(危旧房屋改造项目分表!$AC$6:$AC$353,危旧房屋改造项目分表!$B$6:$B$353,"开福区",危旧房屋改造项目分表!$AD$6:AD$353,"是",危旧房屋改造项目分表!$V$6:$V$353,"&gt;=90%")+SUMIFS(危旧房屋改造项目分表!$AC$6:$AC$353,危旧房屋改造项目分表!$B$6:$B$353,"开福区",危旧房屋改造项目分表!$AD$6:AD$353,"是",危旧房屋改造项目分表!$AB$6:$AB$353,"&gt;=90%")</f>
        <v>0</v>
      </c>
      <c r="H77" s="143">
        <f>SUMIFS(危旧房屋改造项目分表!$AC$6:$AC$353,危旧房屋改造项目分表!$B$6:$B$353,"雨花区",危旧房屋改造项目分表!$AD$6:AD$353,"是",危旧房屋改造项目分表!$V$6:$V$353,"&gt;=90%")+SUMIFS(危旧房屋改造项目分表!$AC$6:$AC$353,危旧房屋改造项目分表!$B$6:$B$353,"雨花区",危旧房屋改造项目分表!$AD$6:AD$353,"是",危旧房屋改造项目分表!$AB$6:$AB$353,"&gt;=90%")</f>
        <v>0</v>
      </c>
      <c r="I77" s="143">
        <f>SUMIFS(危旧房屋改造项目分表!$AC$6:$AC$353,危旧房屋改造项目分表!$B$6:$B$353,"长沙县",危旧房屋改造项目分表!$AD$6:AD$353,"是",危旧房屋改造项目分表!$V$6:$V$353,"&gt;=90%")+SUMIFS(危旧房屋改造项目分表!$AC$6:$AC$353,危旧房屋改造项目分表!$B$6:$B$353,"长沙县",危旧房屋改造项目分表!$AD$6:AD$353,"是",危旧房屋改造项目分表!$AB$6:$AB$353,"&gt;=90%")</f>
        <v>0</v>
      </c>
      <c r="J77" s="143">
        <f>SUMIFS(危旧房屋改造项目分表!$AC$6:$AC$353,危旧房屋改造项目分表!$B$6:$B$353,"望城区",危旧房屋改造项目分表!$AD$6:AD$353,"是",危旧房屋改造项目分表!$V$6:$V$353,"&gt;=90%")+SUMIFS(危旧房屋改造项目分表!$AC$6:$AC$353,危旧房屋改造项目分表!$B$6:$B$353,"望城区",危旧房屋改造项目分表!$AD$6:AD$353,"是",危旧房屋改造项目分表!$AB$6:$AB$353,"&gt;=90%")</f>
        <v>0</v>
      </c>
      <c r="K77" s="143">
        <f>SUMIFS(危旧房屋改造项目分表!$AC$6:$AC$353,危旧房屋改造项目分表!$B$6:$B$353,"浏阳市",危旧房屋改造项目分表!$AD$6:AD$353,"是",危旧房屋改造项目分表!$V$6:$V$353,"&gt;=90%")+SUMIFS(危旧房屋改造项目分表!$AC$6:$AC$353,危旧房屋改造项目分表!$B$6:$B$353,"浏阳市",危旧房屋改造项目分表!$AD$6:AD$353,"是",危旧房屋改造项目分表!$AB$6:$AB$353,"&gt;=90%")</f>
        <v>0</v>
      </c>
      <c r="L77" s="143">
        <f>SUMIFS(危旧房屋改造项目分表!$AC$6:$AC$353,危旧房屋改造项目分表!$B$6:$B$353,"宁乡市",危旧房屋改造项目分表!$AD$6:AD$353,"是",危旧房屋改造项目分表!$V$6:$V$353,"&gt;=90%")+SUMIFS(危旧房屋改造项目分表!$AC$6:$AC$353,危旧房屋改造项目分表!$B$6:$B$353,"宁乡市",危旧房屋改造项目分表!$AD$6:AD$353,"是",危旧房屋改造项目分表!$AB$6:$AB$353,"&gt;=90%")</f>
        <v>0</v>
      </c>
      <c r="M77" s="159">
        <f>SUM($D$77:$L$77)</f>
        <v>0</v>
      </c>
      <c r="N77" s="149" t="str">
        <f>IF(ISERROR(M77/$M$7),"",M77/$M$7)</f>
        <v/>
      </c>
    </row>
    <row r="78" ht="14.85" customHeight="1" spans="1:14">
      <c r="A78" s="145"/>
      <c r="B78" s="129" t="s">
        <v>14</v>
      </c>
      <c r="C78" s="140" t="s">
        <v>17</v>
      </c>
      <c r="D78" s="141">
        <f t="shared" ref="D78:L78" si="24">D71+D74</f>
        <v>0</v>
      </c>
      <c r="E78" s="141">
        <f t="shared" si="24"/>
        <v>0</v>
      </c>
      <c r="F78" s="141">
        <f t="shared" si="24"/>
        <v>0</v>
      </c>
      <c r="G78" s="141">
        <f t="shared" si="24"/>
        <v>0</v>
      </c>
      <c r="H78" s="141">
        <f t="shared" si="24"/>
        <v>0</v>
      </c>
      <c r="I78" s="141">
        <f t="shared" si="24"/>
        <v>0</v>
      </c>
      <c r="J78" s="141">
        <f t="shared" si="24"/>
        <v>0</v>
      </c>
      <c r="K78" s="141">
        <f t="shared" si="24"/>
        <v>0</v>
      </c>
      <c r="L78" s="141">
        <f t="shared" si="24"/>
        <v>0</v>
      </c>
      <c r="M78" s="130">
        <f>SUM($D$78:$L$78)</f>
        <v>0</v>
      </c>
      <c r="N78" s="149" t="str">
        <f t="shared" ref="N78:N81" si="25">IF(ISERROR(M78/M4),"",M78/M4)</f>
        <v/>
      </c>
    </row>
    <row r="79" ht="14.85" customHeight="1" spans="1:14">
      <c r="A79" s="145"/>
      <c r="B79" s="129"/>
      <c r="C79" s="140" t="s">
        <v>18</v>
      </c>
      <c r="D79" s="141">
        <f t="shared" ref="D79:L79" si="26">D72+D75</f>
        <v>0</v>
      </c>
      <c r="E79" s="141">
        <f t="shared" si="26"/>
        <v>0</v>
      </c>
      <c r="F79" s="141">
        <f t="shared" si="26"/>
        <v>0</v>
      </c>
      <c r="G79" s="141">
        <f t="shared" si="26"/>
        <v>0</v>
      </c>
      <c r="H79" s="141">
        <f t="shared" si="26"/>
        <v>0</v>
      </c>
      <c r="I79" s="141">
        <f t="shared" si="26"/>
        <v>0</v>
      </c>
      <c r="J79" s="141">
        <f t="shared" si="26"/>
        <v>0</v>
      </c>
      <c r="K79" s="141">
        <f t="shared" si="26"/>
        <v>0</v>
      </c>
      <c r="L79" s="141">
        <f t="shared" si="26"/>
        <v>0</v>
      </c>
      <c r="M79" s="130">
        <f>SUM($D$79:$L$79)</f>
        <v>0</v>
      </c>
      <c r="N79" s="149" t="str">
        <f t="shared" si="25"/>
        <v/>
      </c>
    </row>
    <row r="80" ht="14.85" customHeight="1" spans="1:14">
      <c r="A80" s="145"/>
      <c r="B80" s="129"/>
      <c r="C80" s="140" t="s">
        <v>19</v>
      </c>
      <c r="D80" s="141">
        <f t="shared" ref="D80:L80" si="27">D73+D76</f>
        <v>0</v>
      </c>
      <c r="E80" s="141">
        <f t="shared" si="27"/>
        <v>0</v>
      </c>
      <c r="F80" s="141">
        <f t="shared" si="27"/>
        <v>0</v>
      </c>
      <c r="G80" s="141">
        <f t="shared" si="27"/>
        <v>0</v>
      </c>
      <c r="H80" s="141">
        <f t="shared" si="27"/>
        <v>0</v>
      </c>
      <c r="I80" s="141">
        <f t="shared" si="27"/>
        <v>0</v>
      </c>
      <c r="J80" s="141">
        <f t="shared" si="27"/>
        <v>0</v>
      </c>
      <c r="K80" s="141">
        <f t="shared" si="27"/>
        <v>0</v>
      </c>
      <c r="L80" s="141">
        <f t="shared" si="27"/>
        <v>0</v>
      </c>
      <c r="M80" s="130">
        <f>SUM($D$80:$L$80)</f>
        <v>0</v>
      </c>
      <c r="N80" s="149" t="str">
        <f t="shared" si="25"/>
        <v/>
      </c>
    </row>
    <row r="81" ht="14.85" customHeight="1" spans="1:14">
      <c r="A81" s="145"/>
      <c r="B81" s="129"/>
      <c r="C81" s="140" t="s">
        <v>37</v>
      </c>
      <c r="D81" s="143">
        <f>SUMIFS(危旧房屋改造项目分表!$AC$6:$AC$353,危旧房屋改造项目分表!$B$6:$B$353,"芙蓉区",危旧房屋改造项目分表!$AD$6:AD$353,"是")</f>
        <v>0</v>
      </c>
      <c r="E81" s="143">
        <f>SUMIFS(危旧房屋改造项目分表!$AC$6:$AC$353,危旧房屋改造项目分表!$B$6:$B$353,"天心区",危旧房屋改造项目分表!$AD$6:AD$353,"是")</f>
        <v>0</v>
      </c>
      <c r="F81" s="143">
        <f>SUMIFS(危旧房屋改造项目分表!$AC$6:$AC$353,危旧房屋改造项目分表!$B$6:$B$353,"岳麓区",危旧房屋改造项目分表!$AD$6:AD$353,"是")</f>
        <v>0</v>
      </c>
      <c r="G81" s="143">
        <f>SUMIFS(危旧房屋改造项目分表!$AC$6:$AC$353,危旧房屋改造项目分表!$B$6:$B$353,"开福区",危旧房屋改造项目分表!$AD$6:AD$353,"是")</f>
        <v>0</v>
      </c>
      <c r="H81" s="143">
        <f>SUMIFS(危旧房屋改造项目分表!$AC$6:$AC$353,危旧房屋改造项目分表!$B$6:$B$353,"雨花区",危旧房屋改造项目分表!$AD$6:AD$353,"是")</f>
        <v>0</v>
      </c>
      <c r="I81" s="143">
        <f>SUMIFS(危旧房屋改造项目分表!$AC$6:$AC$353,危旧房屋改造项目分表!$B$6:$B$353,"长沙县",危旧房屋改造项目分表!$AD$6:AD$353,"是")</f>
        <v>0</v>
      </c>
      <c r="J81" s="143">
        <f>SUMIFS(危旧房屋改造项目分表!$AC$6:$AC$353,危旧房屋改造项目分表!$B$6:$B$353,"望城区",危旧房屋改造项目分表!$AD$6:AD$353,"是")</f>
        <v>0</v>
      </c>
      <c r="K81" s="143">
        <f>SUMIFS(危旧房屋改造项目分表!$AC$6:$AC$353,危旧房屋改造项目分表!$B$6:$B$353,"浏阳市",危旧房屋改造项目分表!$AD$6:AD$353,"是")</f>
        <v>0</v>
      </c>
      <c r="L81" s="143">
        <f>SUMIFS(危旧房屋改造项目分表!$AC$6:$AC$353,危旧房屋改造项目分表!$B$6:$B$353,"宁乡市",危旧房屋改造项目分表!$AD$6:AD$353,"是")</f>
        <v>0</v>
      </c>
      <c r="M81" s="143">
        <f>SUM($D$81:$L$81)</f>
        <v>0</v>
      </c>
      <c r="N81" s="149" t="str">
        <f t="shared" si="25"/>
        <v/>
      </c>
    </row>
    <row r="82" ht="14.85" customHeight="1" spans="1:14">
      <c r="A82" s="145"/>
      <c r="B82" s="129"/>
      <c r="C82" s="140" t="s">
        <v>38</v>
      </c>
      <c r="D82" s="149" t="str">
        <f>IFERROR((SUMPRODUCT((危旧房屋改造项目分表!$B$6:$B$353="芙蓉区")*(危旧房屋改造项目分表!$AD$6:AD$353="是")*(危旧房屋改造项目分表!$V$6:$V$353+危旧房屋改造项目分表!$AB$6:$AB$353))/D$4),"")</f>
        <v/>
      </c>
      <c r="E82" s="149" t="str">
        <f>IFERROR((SUMPRODUCT((危旧房屋改造项目分表!$B$6:$B$353="天心区")*(危旧房屋改造项目分表!$AD$6:AD$353="是")*(危旧房屋改造项目分表!$V$6:$V$353+危旧房屋改造项目分表!$AB$6:$AB$353))/E$4),"")</f>
        <v/>
      </c>
      <c r="F82" s="149" t="str">
        <f>IFERROR((SUMPRODUCT((危旧房屋改造项目分表!$B$6:$B$353="岳麓区")*(危旧房屋改造项目分表!$AD$6:AD$353="是")*(危旧房屋改造项目分表!$V$6:$V$353+危旧房屋改造项目分表!$AB$6:$AB$353))/F$4),"")</f>
        <v/>
      </c>
      <c r="G82" s="149" t="str">
        <f>IFERROR((SUMPRODUCT((危旧房屋改造项目分表!$B$6:$B$353="开福区")*(危旧房屋改造项目分表!$AD$6:AD$353="是")*(危旧房屋改造项目分表!$V$6:$V$353+危旧房屋改造项目分表!$AB$6:$AB$353))/G$4),"")</f>
        <v/>
      </c>
      <c r="H82" s="149" t="str">
        <f>IFERROR((SUMPRODUCT((危旧房屋改造项目分表!$B$6:$B$353="雨花区")*(危旧房屋改造项目分表!$AD$6:AD$353="是")*(危旧房屋改造项目分表!$V$6:$V$353+危旧房屋改造项目分表!$AB$6:$AB$353))/H$4),"")</f>
        <v/>
      </c>
      <c r="I82" s="149" t="str">
        <f>IFERROR((SUMPRODUCT((危旧房屋改造项目分表!$B$6:$B$353="长沙县")*(危旧房屋改造项目分表!$AD$6:AD$353="是")*(危旧房屋改造项目分表!$V$6:$V$353+危旧房屋改造项目分表!$AB$6:$AB$353))/I$4),"")</f>
        <v/>
      </c>
      <c r="J82" s="149" t="str">
        <f>IFERROR((SUMPRODUCT((危旧房屋改造项目分表!$B$6:$B$353="望城区")*(危旧房屋改造项目分表!$AD$6:AD$353="是")*(危旧房屋改造项目分表!$V$6:$V$353+危旧房屋改造项目分表!$AB$6:$AB$353))/J$4),"")</f>
        <v/>
      </c>
      <c r="K82" s="149" t="str">
        <f>IFERROR((SUMPRODUCT((危旧房屋改造项目分表!$B$6:$B$353="浏阳市")*(危旧房屋改造项目分表!$AD$6:AD$353="是")*(危旧房屋改造项目分表!$V$6:$V$353+危旧房屋改造项目分表!$AB$6:$AB$353))/K$4),"")</f>
        <v/>
      </c>
      <c r="L82" s="149" t="str">
        <f>IFERROR((SUMPRODUCT((危旧房屋改造项目分表!$B$6:$B$353="宁乡市")*(危旧房屋改造项目分表!$AD$6:AD$353="是")*(危旧房屋改造项目分表!$V$6:$V$353+危旧房屋改造项目分表!$AB$6:$AB$353))/L$4),"")</f>
        <v/>
      </c>
      <c r="M82" s="149" t="str">
        <f>IFERROR((SUMPRODUCT((危旧房屋改造项目分表!$AD$6:AD$353="是")*(危旧房屋改造项目分表!$V$6:$V$353+危旧房屋改造项目分表!$AB$6:$AB$353))/M$4),"")</f>
        <v/>
      </c>
      <c r="N82" s="158"/>
    </row>
    <row r="83" ht="14.85" customHeight="1" spans="1:14">
      <c r="A83" s="150"/>
      <c r="B83" s="129"/>
      <c r="C83" s="140" t="s">
        <v>39</v>
      </c>
      <c r="D83" s="149" t="e">
        <f t="shared" ref="D83:M83" si="28">D78/D4</f>
        <v>#DIV/0!</v>
      </c>
      <c r="E83" s="149" t="e">
        <f t="shared" si="28"/>
        <v>#DIV/0!</v>
      </c>
      <c r="F83" s="149" t="e">
        <f t="shared" si="28"/>
        <v>#DIV/0!</v>
      </c>
      <c r="G83" s="149" t="e">
        <f t="shared" si="28"/>
        <v>#DIV/0!</v>
      </c>
      <c r="H83" s="149" t="e">
        <f t="shared" si="28"/>
        <v>#DIV/0!</v>
      </c>
      <c r="I83" s="149" t="e">
        <f t="shared" si="28"/>
        <v>#DIV/0!</v>
      </c>
      <c r="J83" s="149" t="e">
        <f t="shared" si="28"/>
        <v>#DIV/0!</v>
      </c>
      <c r="K83" s="149" t="e">
        <f t="shared" si="28"/>
        <v>#DIV/0!</v>
      </c>
      <c r="L83" s="149" t="e">
        <f t="shared" si="28"/>
        <v>#DIV/0!</v>
      </c>
      <c r="M83" s="157" t="e">
        <f t="shared" si="28"/>
        <v>#DIV/0!</v>
      </c>
      <c r="N83" s="158"/>
    </row>
    <row r="87" ht="2" customHeight="1"/>
  </sheetData>
  <protectedRanges>
    <protectedRange sqref="Q488:AA488" name="区域1"/>
    <protectedRange sqref="Q6:AA75 AB6:AB488" name="区域1_1"/>
  </protectedRanges>
  <mergeCells count="34">
    <mergeCell ref="A1:N1"/>
    <mergeCell ref="A2:C2"/>
    <mergeCell ref="M2:N2"/>
    <mergeCell ref="A3:C3"/>
    <mergeCell ref="A8:A22"/>
    <mergeCell ref="A23:A37"/>
    <mergeCell ref="A38:A52"/>
    <mergeCell ref="A53:A67"/>
    <mergeCell ref="A71:A83"/>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71:B73"/>
    <mergeCell ref="B74:B77"/>
    <mergeCell ref="B78:B83"/>
    <mergeCell ref="A4:B7"/>
    <mergeCell ref="A68:B70"/>
  </mergeCells>
  <pageMargins left="0.94375" right="0.388888888888889" top="0.979166666666667" bottom="0.588888888888889" header="0.5" footer="0.588888888888889"/>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4"/>
  </sheetPr>
  <dimension ref="A1:O83"/>
  <sheetViews>
    <sheetView showZeros="0" zoomScale="143" zoomScaleNormal="143" workbookViewId="0">
      <pane xSplit="2" ySplit="3" topLeftCell="E38" activePane="bottomRight" state="frozen"/>
      <selection/>
      <selection pane="topRight"/>
      <selection pane="bottomLeft"/>
      <selection pane="bottomRight" activeCell="F48" sqref="F48"/>
    </sheetView>
  </sheetViews>
  <sheetFormatPr defaultColWidth="9.81666666666667" defaultRowHeight="14.25"/>
  <cols>
    <col min="1" max="1" width="8.175" style="118" customWidth="1"/>
    <col min="2" max="2" width="10.6333333333333" style="118" customWidth="1"/>
    <col min="3" max="3" width="12.6833333333333" style="119" customWidth="1"/>
    <col min="4" max="14" width="9.40833333333333" style="118" customWidth="1"/>
    <col min="15" max="15" width="10.5416666666667" style="118" customWidth="1"/>
    <col min="16" max="16384" width="9.81666666666667" style="118"/>
  </cols>
  <sheetData>
    <row r="1" ht="22.5" spans="1:15">
      <c r="A1" s="120" t="s">
        <v>40</v>
      </c>
      <c r="B1" s="121"/>
      <c r="C1" s="121"/>
      <c r="D1" s="121"/>
      <c r="E1" s="121"/>
      <c r="F1" s="121"/>
      <c r="G1" s="121"/>
      <c r="H1" s="121"/>
      <c r="I1" s="121"/>
      <c r="J1" s="121"/>
      <c r="K1" s="121"/>
      <c r="L1" s="121"/>
      <c r="M1" s="121"/>
      <c r="N1" s="121"/>
      <c r="O1" s="121"/>
    </row>
    <row r="2" ht="13.5" spans="1:15">
      <c r="A2" s="122" t="s">
        <v>1</v>
      </c>
      <c r="B2" s="122"/>
      <c r="C2" s="123"/>
      <c r="D2" s="124"/>
      <c r="E2" s="124"/>
      <c r="F2" s="124"/>
      <c r="G2" s="124"/>
      <c r="H2" s="124"/>
      <c r="I2" s="146"/>
      <c r="J2" s="146"/>
      <c r="K2" s="146"/>
      <c r="L2" s="146" t="s">
        <v>2</v>
      </c>
      <c r="M2" s="146"/>
      <c r="N2" s="147"/>
      <c r="O2" s="148"/>
    </row>
    <row r="3" ht="16" customHeight="1" spans="1:15">
      <c r="A3" s="125" t="s">
        <v>3</v>
      </c>
      <c r="B3" s="125"/>
      <c r="C3" s="125"/>
      <c r="D3" s="126" t="s">
        <v>4</v>
      </c>
      <c r="E3" s="126" t="s">
        <v>5</v>
      </c>
      <c r="F3" s="126" t="s">
        <v>6</v>
      </c>
      <c r="G3" s="126" t="s">
        <v>7</v>
      </c>
      <c r="H3" s="126" t="s">
        <v>8</v>
      </c>
      <c r="I3" s="126" t="s">
        <v>9</v>
      </c>
      <c r="J3" s="126" t="s">
        <v>10</v>
      </c>
      <c r="K3" s="126" t="s">
        <v>11</v>
      </c>
      <c r="L3" s="126" t="s">
        <v>12</v>
      </c>
      <c r="M3" s="126" t="s">
        <v>13</v>
      </c>
      <c r="N3" s="126" t="s">
        <v>14</v>
      </c>
      <c r="O3" s="126" t="s">
        <v>15</v>
      </c>
    </row>
    <row r="4" ht="16" customHeight="1" spans="1:15">
      <c r="A4" s="127" t="s">
        <v>16</v>
      </c>
      <c r="B4" s="128"/>
      <c r="C4" s="129" t="s">
        <v>17</v>
      </c>
      <c r="D4" s="130">
        <f>SUMPRODUCT((危旧房屋改造项目分表!B$6:$B$353="芙蓉区")*(危旧房屋改造项目分表!$AD$6:AD$353="是")*(危旧房屋改造项目分表!AG$6:$AG$353="否"))</f>
        <v>0</v>
      </c>
      <c r="E4" s="130">
        <f>SUMPRODUCT((危旧房屋改造项目分表!$B$6:C$353="天心区")*(危旧房屋改造项目分表!$AD$6:AD$353="是")*(危旧房屋改造项目分表!$AG$6:AH$353="否"))</f>
        <v>0</v>
      </c>
      <c r="F4" s="130">
        <f>SUMPRODUCT((危旧房屋改造项目分表!$B$6:D$353="岳麓区")*(危旧房屋改造项目分表!$AD$6:AD$353="是")*(危旧房屋改造项目分表!$AG$6:AI$353="否"))</f>
        <v>0</v>
      </c>
      <c r="G4" s="130">
        <f>SUMPRODUCT((危旧房屋改造项目分表!$B$6:E$353="开福区")*(危旧房屋改造项目分表!$AD$6:AD$353="是")*(危旧房屋改造项目分表!$AG$6:AJ$353="否"))</f>
        <v>0</v>
      </c>
      <c r="H4" s="130">
        <f>SUMPRODUCT((危旧房屋改造项目分表!$B$6:F$353="雨花区")*(危旧房屋改造项目分表!$AD$6:AD$353="是")*(危旧房屋改造项目分表!$AG$6:AK$353="否"))</f>
        <v>0</v>
      </c>
      <c r="I4" s="130">
        <f>SUMPRODUCT((危旧房屋改造项目分表!$B$6:G$353="长沙县")*(危旧房屋改造项目分表!$AD$6:AD$353="是")*(危旧房屋改造项目分表!$AG$6:AL$353="否"))</f>
        <v>0</v>
      </c>
      <c r="J4" s="130">
        <f>SUMPRODUCT((危旧房屋改造项目分表!$B$6:H$353="望城区")*(危旧房屋改造项目分表!$AD$6:AD$353="是")*(危旧房屋改造项目分表!$AG$6:AM$353="否"))</f>
        <v>0</v>
      </c>
      <c r="K4" s="130">
        <f>SUMPRODUCT((危旧房屋改造项目分表!$B$6:I$353="浏阳市")*(危旧房屋改造项目分表!$AD$6:AD$353="是")*(危旧房屋改造项目分表!$AG$6:AN$353="否"))</f>
        <v>0</v>
      </c>
      <c r="L4" s="130">
        <f>SUMPRODUCT((危旧房屋改造项目分表!$B$6:J$353="宁乡市")*(危旧房屋改造项目分表!$AD$6:AD$353="是")*(危旧房屋改造项目分表!$AG$6:AO$353="否"))</f>
        <v>0</v>
      </c>
      <c r="M4" s="130">
        <f>COUNTIFS(危旧房屋改造项目分表!$AG$6:$AG$353,"是",危旧房屋改造项目分表!$AD$6:AD$353,"是")</f>
        <v>0</v>
      </c>
      <c r="N4" s="130">
        <f>SUM($D$4:$M$4)</f>
        <v>0</v>
      </c>
      <c r="O4" s="130"/>
    </row>
    <row r="5" ht="14" customHeight="1" spans="1:15">
      <c r="A5" s="131"/>
      <c r="B5" s="132"/>
      <c r="C5" s="129" t="s">
        <v>18</v>
      </c>
      <c r="D5" s="130">
        <f>SUMIFS(危旧房屋改造项目分表!$K$6:$K$353,危旧房屋改造项目分表!$B$6:$B$353,"芙蓉区",危旧房屋改造项目分表!$AD$6:AD$353,"是",危旧房屋改造项目分表!AG$6:$AG$353,"否")</f>
        <v>0</v>
      </c>
      <c r="E5" s="130">
        <f>SUMIFS(危旧房屋改造项目分表!$K$6:$K$353,危旧房屋改造项目分表!$B$6:$B$353,"天心区",危旧房屋改造项目分表!$AD$6:AD$353,"是",危旧房屋改造项目分表!$AG$6:$AG$353,"否")</f>
        <v>0</v>
      </c>
      <c r="F5" s="130">
        <f>SUMIFS(危旧房屋改造项目分表!$K$6:$K$353,危旧房屋改造项目分表!$B$6:$B$353,"岳麓区",危旧房屋改造项目分表!$AD$6:AD$353,"是",危旧房屋改造项目分表!$AG$6:$AG$353,"否")</f>
        <v>0</v>
      </c>
      <c r="G5" s="130">
        <f>SUMIFS(危旧房屋改造项目分表!$K$6:$K$353,危旧房屋改造项目分表!$B$6:$B$353,"开福区",危旧房屋改造项目分表!$AD$6:AD$353,"是",危旧房屋改造项目分表!$AG$6:$AG$353,"否")</f>
        <v>0</v>
      </c>
      <c r="H5" s="130">
        <f>SUMIFS(危旧房屋改造项目分表!$K$6:$K$353,危旧房屋改造项目分表!$B$6:$B$353,"雨花区",危旧房屋改造项目分表!$AD$6:AD$353,"是",危旧房屋改造项目分表!$AG$6:$AG$353,"否")</f>
        <v>0</v>
      </c>
      <c r="I5" s="130">
        <f>SUMIFS(危旧房屋改造项目分表!$K$6:$K$353,危旧房屋改造项目分表!$B$6:$B$353,"长沙县",危旧房屋改造项目分表!$AD$6:AD$353,"是",危旧房屋改造项目分表!$AG$6:$AG$353,"否")</f>
        <v>0</v>
      </c>
      <c r="J5" s="130">
        <f>SUMIFS(危旧房屋改造项目分表!$K$6:$K$353,危旧房屋改造项目分表!$B$6:$B$353,"望城区",危旧房屋改造项目分表!$AD$6:AD$353,"是",危旧房屋改造项目分表!$AG$6:$AG$353,"否")</f>
        <v>0</v>
      </c>
      <c r="K5" s="130">
        <f>SUMIFS(危旧房屋改造项目分表!$K$6:$K$353,危旧房屋改造项目分表!$B$6:$B$353,"浏阳市",危旧房屋改造项目分表!$AD$6:AD$353,"是",危旧房屋改造项目分表!$AG$6:$AG$353,"否")</f>
        <v>0</v>
      </c>
      <c r="L5" s="130">
        <f>SUMIFS(危旧房屋改造项目分表!$K$6:$K$353,危旧房屋改造项目分表!$B$6:$B$353,"宁乡市",危旧房屋改造项目分表!$AD$6:AD$353,"是",危旧房屋改造项目分表!$AG$6:$AG$353,"否")</f>
        <v>0</v>
      </c>
      <c r="M5" s="130">
        <f>SUMIFS(危旧房屋改造项目分表!$K$6:$K$353,危旧房屋改造项目分表!$AD$6:AD$353,"是",危旧房屋改造项目分表!$AG$6:$AG$353,"是")</f>
        <v>0</v>
      </c>
      <c r="N5" s="130">
        <f>SUM($D$5:$M$5)</f>
        <v>0</v>
      </c>
      <c r="O5" s="130"/>
    </row>
    <row r="6" ht="17" customHeight="1" spans="1:15">
      <c r="A6" s="131"/>
      <c r="B6" s="132"/>
      <c r="C6" s="129" t="s">
        <v>19</v>
      </c>
      <c r="D6" s="130">
        <f>SUMIFS(危旧房屋改造项目分表!$L$6:$L$353,危旧房屋改造项目分表!$B$6:$B$353,"芙蓉区",危旧房屋改造项目分表!$AD$6:AD$353,"是",危旧房屋改造项目分表!AG$6:$AG$353,"否")</f>
        <v>0</v>
      </c>
      <c r="E6" s="130">
        <f>SUMIFS(危旧房屋改造项目分表!$L$6:$L$353,危旧房屋改造项目分表!$B$6:$B$353,"天心区",危旧房屋改造项目分表!$AD$6:AD$353,"是",危旧房屋改造项目分表!$AG$6:$AG$353,"否")</f>
        <v>0</v>
      </c>
      <c r="F6" s="130">
        <f>SUMIFS(危旧房屋改造项目分表!$L$6:$L$353,危旧房屋改造项目分表!$B$6:$B$353,"岳麓区",危旧房屋改造项目分表!$AD$6:AD$353,"是",危旧房屋改造项目分表!$AG$6:$AG$353,"否")</f>
        <v>0</v>
      </c>
      <c r="G6" s="130">
        <f>SUMIFS(危旧房屋改造项目分表!$L$6:$L$353,危旧房屋改造项目分表!$B$6:$B$353,"开福区",危旧房屋改造项目分表!$AD$6:AD$353,"是",危旧房屋改造项目分表!$AG$6:$AG$353,"否")</f>
        <v>0</v>
      </c>
      <c r="H6" s="130">
        <f>SUMIFS(危旧房屋改造项目分表!$L$6:$L$353,危旧房屋改造项目分表!$B$6:$B$353,"雨花区",危旧房屋改造项目分表!$AD$6:AD$353,"是",危旧房屋改造项目分表!$AG$6:$AG$353,"否")</f>
        <v>0</v>
      </c>
      <c r="I6" s="130">
        <f>SUMIFS(危旧房屋改造项目分表!$L$6:$L$353,危旧房屋改造项目分表!$B$6:$B$353,"长沙县",危旧房屋改造项目分表!$AD$6:AD$353,"是",危旧房屋改造项目分表!$AG$6:$AG$353,"否")</f>
        <v>0</v>
      </c>
      <c r="J6" s="130">
        <f>SUMIFS(危旧房屋改造项目分表!$L$6:$L$353,危旧房屋改造项目分表!$B$6:$B$353,"望城区",危旧房屋改造项目分表!$AD$6:AD$353,"是",危旧房屋改造项目分表!$AG$6:$AG$353,"否")</f>
        <v>0</v>
      </c>
      <c r="K6" s="130">
        <f>SUMIFS(危旧房屋改造项目分表!$L$6:$L$353,危旧房屋改造项目分表!$B$6:$B$353,"浏阳市",危旧房屋改造项目分表!$AD$6:AD$353,"是",危旧房屋改造项目分表!$AG$6:$AG$353,"否")</f>
        <v>0</v>
      </c>
      <c r="L6" s="130">
        <f>SUMIFS(危旧房屋改造项目分表!$L$6:$L$353,危旧房屋改造项目分表!$B$6:$B$353,"宁乡市",危旧房屋改造项目分表!$AD$6:AD$353,"是",危旧房屋改造项目分表!$AG$6:$AG$353,"否")</f>
        <v>0</v>
      </c>
      <c r="M6" s="130">
        <f>SUMIFS(危旧房屋改造项目分表!$L$6:$L$353,危旧房屋改造项目分表!$AD$6:AD$353,"是",危旧房屋改造项目分表!$AG$6:$AG$353,"是")</f>
        <v>0</v>
      </c>
      <c r="N6" s="130">
        <f>SUM($D$6:$M$6)</f>
        <v>0</v>
      </c>
      <c r="O6" s="130"/>
    </row>
    <row r="7" ht="15" customHeight="1" spans="1:15">
      <c r="A7" s="133"/>
      <c r="B7" s="134"/>
      <c r="C7" s="129" t="s">
        <v>20</v>
      </c>
      <c r="D7" s="130">
        <f>SUMIFS(危旧房屋改造项目分表!$P$6:$P$353,危旧房屋改造项目分表!$B$6:$B$353,"芙蓉区",危旧房屋改造项目分表!$AD$6:AD$353,"是",危旧房屋改造项目分表!AG$6:$AG$353,"否")</f>
        <v>0</v>
      </c>
      <c r="E7" s="130">
        <f>SUMIFS(危旧房屋改造项目分表!$P$6:$P$353,危旧房屋改造项目分表!$B$6:$B$353,"天心区",危旧房屋改造项目分表!$AD$6:AD$353,"是",危旧房屋改造项目分表!$AG$6:$AG$353,"否")</f>
        <v>0</v>
      </c>
      <c r="F7" s="130">
        <f>SUMIFS(危旧房屋改造项目分表!$P$6:$P$353,危旧房屋改造项目分表!$B$6:$B$353,"岳麓区",危旧房屋改造项目分表!$AD$6:AD$353,"是",危旧房屋改造项目分表!$AG$6:$AG$353,"否")</f>
        <v>0</v>
      </c>
      <c r="G7" s="130">
        <f>SUMIFS(危旧房屋改造项目分表!$P$6:$P$353,危旧房屋改造项目分表!$B$6:$B$353,"开福区",危旧房屋改造项目分表!$AD$6:AD$353,"是",危旧房屋改造项目分表!$AG$6:$AG$353,"否")</f>
        <v>0</v>
      </c>
      <c r="H7" s="130">
        <f>SUMIFS(危旧房屋改造项目分表!$P$6:$P$353,危旧房屋改造项目分表!$B$6:$B$353,"雨花区",危旧房屋改造项目分表!$AD$6:AD$353,"是",危旧房屋改造项目分表!$AG$6:$AG$353,"否")</f>
        <v>0</v>
      </c>
      <c r="I7" s="130">
        <f>SUMIFS(危旧房屋改造项目分表!$P$6:$P$353,危旧房屋改造项目分表!$B$6:$B$353,"长沙县",危旧房屋改造项目分表!$AD$6:AD$353,"是",危旧房屋改造项目分表!$AG$6:$AG$353,"否")</f>
        <v>0</v>
      </c>
      <c r="J7" s="130">
        <f>SUMIFS(危旧房屋改造项目分表!$P$6:$P$353,危旧房屋改造项目分表!$B$6:$B$353,"望城区",危旧房屋改造项目分表!$AD$6:AD$353,"是",危旧房屋改造项目分表!$AG$6:$AG$353,"否")</f>
        <v>0</v>
      </c>
      <c r="K7" s="130">
        <f>SUMIFS(危旧房屋改造项目分表!$P$6:$P$353,危旧房屋改造项目分表!$B$6:$B$353,"浏阳市",危旧房屋改造项目分表!$AD$6:AD$353,"是",危旧房屋改造项目分表!$AG$6:$AG$353,"否")</f>
        <v>0</v>
      </c>
      <c r="L7" s="130">
        <f>SUMIFS(危旧房屋改造项目分表!$P$6:$P$353,危旧房屋改造项目分表!$B$6:$B$353,"宁乡市",危旧房屋改造项目分表!$AD$6:AD$353,"是",危旧房屋改造项目分表!$AG$6:$AG$353,"否")</f>
        <v>0</v>
      </c>
      <c r="M7" s="130">
        <f>SUMIFS(危旧房屋改造项目分表!$P$6:$P$353,危旧房屋改造项目分表!$AD$6:AD$353,"是",危旧房屋改造项目分表!AG$6:$AG$353,"是")</f>
        <v>0</v>
      </c>
      <c r="N7" s="130">
        <f>SUM($D$7:$M$7)</f>
        <v>0</v>
      </c>
      <c r="O7" s="130"/>
    </row>
    <row r="8" ht="14.85" customHeight="1" spans="1:15">
      <c r="A8" s="135" t="s">
        <v>21</v>
      </c>
      <c r="B8" s="136" t="s">
        <v>22</v>
      </c>
      <c r="C8" s="129" t="s">
        <v>17</v>
      </c>
      <c r="D8" s="130">
        <f>IFERROR(SUMPRODUCT((危旧房屋改造项目分表!$B$6:$B$353=$D$3)*(危旧房屋改造项目分表!$AD$6:AD$353="是")*(危旧房屋改造项目分表!AG$6:$AG$353="否")*(危旧房屋改造项目分表!$O$6:$O$353="维修加固")*(危旧房屋改造项目分表!$V$6:$V$353&lt;=10%)*危旧房屋改造项目分表!$AF$6:$AF$353),"")</f>
        <v>0</v>
      </c>
      <c r="E8" s="130">
        <f>IFERROR(SUMPRODUCT((危旧房屋改造项目分表!$B$6:$B$353=$E$3)*(危旧房屋改造项目分表!$AD$6:AD$353="是")*(危旧房屋改造项目分表!AG$6:$AG$353="否")*(危旧房屋改造项目分表!$O$6:$O$353="维修加固")*(危旧房屋改造项目分表!$V$6:$V$353&lt;=10%)*危旧房屋改造项目分表!$AF$6:$AF$353),"")</f>
        <v>0</v>
      </c>
      <c r="F8" s="130">
        <f>IFERROR(SUMPRODUCT((危旧房屋改造项目分表!$B$6:$B$353=$F$3)*(危旧房屋改造项目分表!$AD$6:AD$353="是")*(危旧房屋改造项目分表!AG$6:$AG$353="否")*(危旧房屋改造项目分表!$O$6:$O$353="维修加固")*(危旧房屋改造项目分表!$V$6:$V$353&lt;10%)*危旧房屋改造项目分表!$AF$6:$AF$353),"")</f>
        <v>0</v>
      </c>
      <c r="G8" s="130">
        <f>IFERROR(SUMPRODUCT((危旧房屋改造项目分表!$B$6:$B$353=$G$3)*(危旧房屋改造项目分表!$AD$6:AD$353="是")*(危旧房屋改造项目分表!AG$6:$AG$353="否")*(危旧房屋改造项目分表!$O$6:$O$353="维修加固")*(危旧房屋改造项目分表!$V$6:$V$353&lt;10%)*危旧房屋改造项目分表!$AF$6:$AF$353),"")</f>
        <v>0</v>
      </c>
      <c r="H8" s="130">
        <f>IFERROR(SUMPRODUCT((危旧房屋改造项目分表!$B$6:$B$353=$H$3)*(危旧房屋改造项目分表!$AD$6:AD$353="是")*(危旧房屋改造项目分表!AG$6:$AG$353="否")*(危旧房屋改造项目分表!$O$6:$O$353="维修加固")*(危旧房屋改造项目分表!$V$6:$V$353&lt;10%)*危旧房屋改造项目分表!$AF$6:$AF$353),"")</f>
        <v>0</v>
      </c>
      <c r="I8" s="130">
        <f>IFERROR(SUMPRODUCT((危旧房屋改造项目分表!$B$6:$B$353=$I$3)*(危旧房屋改造项目分表!$AD$6:AD$353="是")*(危旧房屋改造项目分表!AG$6:$AG$353="否")*(危旧房屋改造项目分表!$O$6:$O$353="维修加固")*(危旧房屋改造项目分表!$V$6:$V$353&lt;10%)*危旧房屋改造项目分表!$AF$6:$AF$353),"")</f>
        <v>0</v>
      </c>
      <c r="J8" s="130">
        <f>IFERROR(SUMPRODUCT((危旧房屋改造项目分表!$B$6:$B$353=$J$3)*(危旧房屋改造项目分表!$AD$6:AD$353="是")*(危旧房屋改造项目分表!AG$6:$AG$353="否")*(危旧房屋改造项目分表!$O$6:$O$353="维修加固")*(危旧房屋改造项目分表!$V$6:$V$353&lt;10%)*危旧房屋改造项目分表!$AF$6:$AF$353),"")</f>
        <v>0</v>
      </c>
      <c r="K8" s="130">
        <f>IFERROR(SUMPRODUCT((危旧房屋改造项目分表!$B$6:$B$353=$K$3)*(危旧房屋改造项目分表!$AD$6:AD$353="是")*(危旧房屋改造项目分表!AG$6:$AG$353="否")*(危旧房屋改造项目分表!$O$6:$O$353="维修加固")*(危旧房屋改造项目分表!$V$6:$V$353&lt;10%)*危旧房屋改造项目分表!$AF$6:$AF$353),"")</f>
        <v>0</v>
      </c>
      <c r="L8" s="130">
        <f>IFERROR(SUMPRODUCT((危旧房屋改造项目分表!$B$6:$B$353=$L$3)*(危旧房屋改造项目分表!$AD$6:AD$353="是")*(危旧房屋改造项目分表!AG$6:$AG$353="否")*(危旧房屋改造项目分表!$O$6:$O$353="维修加固")*(危旧房屋改造项目分表!$V$6:$V$353&lt;10%)*危旧房屋改造项目分表!$AF$6:$AF$353),"")</f>
        <v>0</v>
      </c>
      <c r="M8" s="130">
        <f>IFERROR(SUMPRODUCT((危旧房屋改造项目分表!$AG$6:AH$353="是")*(危旧房屋改造项目分表!$AD$6:AD$353="是")*(危旧房屋改造项目分表!$O$6:$O$353="维修加固")*(危旧房屋改造项目分表!$V$6:$V$353&lt;10%)*危旧房屋改造项目分表!$AF$6:$AF$353),"")</f>
        <v>0</v>
      </c>
      <c r="N8" s="130">
        <f>SUM($D$8:$M$8)</f>
        <v>0</v>
      </c>
      <c r="O8" s="149" t="str">
        <f>IF(ISERROR(N8/$N$20),"",N8/$N$20)</f>
        <v/>
      </c>
    </row>
    <row r="9" ht="14.85" customHeight="1" spans="1:15">
      <c r="A9" s="137"/>
      <c r="B9" s="138"/>
      <c r="C9" s="129" t="s">
        <v>18</v>
      </c>
      <c r="D9" s="130">
        <f>IFERROR(SUMPRODUCT((危旧房屋改造项目分表!$B$6:$B$353=$D$3)*(危旧房屋改造项目分表!$AD$6:AD$353="是")*(危旧房屋改造项目分表!AG$6:$AG$353="否")*(危旧房屋改造项目分表!$O$6:$O$353="维修加固")*(危旧房屋改造项目分表!$V$6:$V$353&lt;=10%)*危旧房屋改造项目分表!$K$6:$K$353),"")</f>
        <v>0</v>
      </c>
      <c r="E9" s="130">
        <f>IFERROR(SUMPRODUCT((危旧房屋改造项目分表!$B$6:$B$353=$E$3)*(危旧房屋改造项目分表!$AD$6:AD$353="是")*(危旧房屋改造项目分表!AG$6:$AG$353="否")*(危旧房屋改造项目分表!$O$6:$O$353="维修加固")*(危旧房屋改造项目分表!$V$6:$V$353&lt;=10%)*危旧房屋改造项目分表!$K$6:$K$353),"")</f>
        <v>0</v>
      </c>
      <c r="F9" s="130">
        <f>IFERROR(SUMPRODUCT((危旧房屋改造项目分表!$B$6:$B$353=$F$3)*(危旧房屋改造项目分表!$AD$6:AD$353="是")*(危旧房屋改造项目分表!AG$6:$AG$353="否")*(危旧房屋改造项目分表!$O$6:$O$353="维修加固")*(危旧房屋改造项目分表!$V$6:$V$353&lt;10%)*危旧房屋改造项目分表!$K$6:$K$353),"")</f>
        <v>0</v>
      </c>
      <c r="G9" s="130">
        <f>IFERROR(SUMPRODUCT((危旧房屋改造项目分表!$B$6:$B$353=$G$3)*(危旧房屋改造项目分表!$AD$6:AD$353="是")*(危旧房屋改造项目分表!AG$6:$AG$353="否")*(危旧房屋改造项目分表!$O$6:$O$353="维修加固")*(危旧房屋改造项目分表!$V$6:$V$353&lt;10%)*危旧房屋改造项目分表!$K$6:$K$353),"")</f>
        <v>0</v>
      </c>
      <c r="H9" s="130">
        <f>IFERROR(SUMPRODUCT((危旧房屋改造项目分表!$B$6:$B$353=$H$3)*(危旧房屋改造项目分表!$AD$6:AD$353="是")*(危旧房屋改造项目分表!AG$6:$AG$353="否")*(危旧房屋改造项目分表!$O$6:$O$353="维修加固")*(危旧房屋改造项目分表!$V$6:$V$353&lt;10%)*危旧房屋改造项目分表!$K$6:$K$353),"")</f>
        <v>0</v>
      </c>
      <c r="I9" s="130">
        <f>IFERROR(SUMPRODUCT((危旧房屋改造项目分表!$B$6:$B$353=$I$3)*(危旧房屋改造项目分表!$AD$6:AD$353="是")*(危旧房屋改造项目分表!AG$6:$AG$353="否")*(危旧房屋改造项目分表!$O$6:$O$353="维修加固")*(危旧房屋改造项目分表!$V$6:$V$353&lt;10%)*危旧房屋改造项目分表!$K$6:$K$353),"")</f>
        <v>0</v>
      </c>
      <c r="J9" s="130">
        <f>IFERROR(SUMPRODUCT((危旧房屋改造项目分表!$B$6:$B$353=$J$3)*(危旧房屋改造项目分表!$AD$6:AD$353="是")*(危旧房屋改造项目分表!AG$6:$AG$353="否")*(危旧房屋改造项目分表!$O$6:$O$353="维修加固")*(危旧房屋改造项目分表!$V$6:$V$353&lt;10%)*危旧房屋改造项目分表!$K$6:$K$353),"")</f>
        <v>0</v>
      </c>
      <c r="K9" s="130">
        <f>IFERROR(SUMPRODUCT((危旧房屋改造项目分表!$B$6:$B$353=$K$3)*(危旧房屋改造项目分表!$AD$6:AD$353="是")*(危旧房屋改造项目分表!AG$6:$AG$353="否")*(危旧房屋改造项目分表!$O$6:$O$353="维修加固")*(危旧房屋改造项目分表!$V$6:$V$353&lt;10%)*危旧房屋改造项目分表!$K$6:$K$353),"")</f>
        <v>0</v>
      </c>
      <c r="L9" s="130">
        <f>IFERROR(SUMPRODUCT((危旧房屋改造项目分表!$B$6:$B$353=$L$3)*(危旧房屋改造项目分表!$AD$6:AD$353="是")*(危旧房屋改造项目分表!AG$6:$AG$353="否")*(危旧房屋改造项目分表!$O$6:$O$353="维修加固")*(危旧房屋改造项目分表!$V$6:$V$353&lt;10%)*危旧房屋改造项目分表!$K$6:$K$353),"")</f>
        <v>0</v>
      </c>
      <c r="M9" s="130">
        <f>IFERROR(SUMPRODUCT((危旧房屋改造项目分表!$AG$6:AH$353="是")*(危旧房屋改造项目分表!$AD$6:AD$353="是")*(危旧房屋改造项目分表!$O$6:$O$353="维修加固")*(危旧房屋改造项目分表!$V$6:$V$353&lt;10%)*危旧房屋改造项目分表!$K$6:$K$353),"")</f>
        <v>0</v>
      </c>
      <c r="N9" s="130">
        <f>SUM($D$9:$M$9)</f>
        <v>0</v>
      </c>
      <c r="O9" s="149" t="str">
        <f>IF(ISERROR(N9/$N$21),"",N9/$N$21)</f>
        <v/>
      </c>
    </row>
    <row r="10" ht="14.85" customHeight="1" spans="1:15">
      <c r="A10" s="137"/>
      <c r="B10" s="139"/>
      <c r="C10" s="129" t="s">
        <v>19</v>
      </c>
      <c r="D10" s="130">
        <f>IFERROR(SUMPRODUCT((危旧房屋改造项目分表!$B$6:$B$353=$D$3)*(危旧房屋改造项目分表!$AD$6:AD$353="是")*(危旧房屋改造项目分表!AG$6:$AG$353="否")*(危旧房屋改造项目分表!$O$6:$O$353="维修加固")*(危旧房屋改造项目分表!$V$6:$V$353&lt;=10%)*危旧房屋改造项目分表!$L$6:$L$353),"")</f>
        <v>0</v>
      </c>
      <c r="E10" s="130">
        <f>IFERROR(SUMPRODUCT((危旧房屋改造项目分表!$B$6:$B$353=$E$3)*(危旧房屋改造项目分表!$AD$6:AD$353="是")*(危旧房屋改造项目分表!AG$6:$AG$353="否")*(危旧房屋改造项目分表!$O$6:$O$353="维修加固")*(危旧房屋改造项目分表!$V$6:$V$353&lt;=10%)*危旧房屋改造项目分表!$L$6:$L$353),"")</f>
        <v>0</v>
      </c>
      <c r="F10" s="130">
        <f>IFERROR(SUMPRODUCT((危旧房屋改造项目分表!$B$6:$B$353=$F$3)*(危旧房屋改造项目分表!$AD$6:AD$353="是")*(危旧房屋改造项目分表!AG$6:$AG$353="否")*(危旧房屋改造项目分表!$O$6:$O$353="维修加固")*(危旧房屋改造项目分表!$V$6:$V$353&lt;=10%)*危旧房屋改造项目分表!$L$6:$L$353),"")</f>
        <v>0</v>
      </c>
      <c r="G10" s="130">
        <f>IFERROR(SUMPRODUCT((危旧房屋改造项目分表!$B$6:$B$353=$G$3)*(危旧房屋改造项目分表!$AD$6:AD$353="是")*(危旧房屋改造项目分表!AG$6:$AG$353="否")*(危旧房屋改造项目分表!$O$6:$O$353="维修加固")*(危旧房屋改造项目分表!$V$6:$V$353&lt;=10%)*危旧房屋改造项目分表!$L$6:$L$353),"")</f>
        <v>0</v>
      </c>
      <c r="H10" s="130">
        <f>IFERROR(SUMPRODUCT((危旧房屋改造项目分表!$B$6:$B$353=$H$3)*(危旧房屋改造项目分表!$AD$6:AD$353="是")*(危旧房屋改造项目分表!AG$6:$AG$353="否")*(危旧房屋改造项目分表!$O$6:$O$353="维修加固")*(危旧房屋改造项目分表!$V$6:$V$353&lt;=10%)*危旧房屋改造项目分表!$L$6:$L$353),"")</f>
        <v>0</v>
      </c>
      <c r="I10" s="130">
        <f>IFERROR(SUMPRODUCT((危旧房屋改造项目分表!$B$6:$B$353=$I$3)*(危旧房屋改造项目分表!$AD$6:AD$353="是")*(危旧房屋改造项目分表!AG$6:$AG$353="否")*(危旧房屋改造项目分表!$O$6:$O$353="维修加固")*(危旧房屋改造项目分表!$V$6:$V$353&lt;=10%)*危旧房屋改造项目分表!$L$6:$L$353),"")</f>
        <v>0</v>
      </c>
      <c r="J10" s="130">
        <f>IFERROR(SUMPRODUCT((危旧房屋改造项目分表!$B$6:$B$353=$J$3)*(危旧房屋改造项目分表!$AD$6:AD$353="是")*(危旧房屋改造项目分表!AG$6:$AG$353="否")*(危旧房屋改造项目分表!$O$6:$O$353="维修加固")*(危旧房屋改造项目分表!$V$6:$V$353&lt;=10%)*危旧房屋改造项目分表!$L$6:$L$353),"")</f>
        <v>0</v>
      </c>
      <c r="K10" s="130">
        <f>IFERROR(SUMPRODUCT((危旧房屋改造项目分表!$B$6:$B$353=$K$3)*(危旧房屋改造项目分表!$AD$6:AD$353="是")*(危旧房屋改造项目分表!AG$6:$AG$353="否")*(危旧房屋改造项目分表!$O$6:$O$353="维修加固")*(危旧房屋改造项目分表!$V$6:$V$353&lt;=10%)*危旧房屋改造项目分表!$L$6:$L$353),"")</f>
        <v>0</v>
      </c>
      <c r="L10" s="130">
        <f>IFERROR(SUMPRODUCT((危旧房屋改造项目分表!$B$6:$B$353=$L$3)*(危旧房屋改造项目分表!$AD$6:AD$353="是")*(危旧房屋改造项目分表!AG$6:$AG$353="否")*(危旧房屋改造项目分表!$O$6:$O$353="维修加固")*(危旧房屋改造项目分表!$V$6:$V$353&lt;=10%)*危旧房屋改造项目分表!$L$6:$L$353),"")</f>
        <v>0</v>
      </c>
      <c r="M10" s="130">
        <f>IFERROR(SUMPRODUCT((危旧房屋改造项目分表!$AG$6:AH$353="是")*(危旧房屋改造项目分表!$AD$6:AD$353="是")*(危旧房屋改造项目分表!$O$6:$O$353="维修加固")*(危旧房屋改造项目分表!$V$6:$V$353&lt;=10%)*危旧房屋改造项目分表!$L$6:$L$353),"")</f>
        <v>0</v>
      </c>
      <c r="N10" s="130">
        <f>SUM($D$10:$M$10)</f>
        <v>0</v>
      </c>
      <c r="O10" s="149" t="str">
        <f>IF(ISERROR(N10/$N$22),"",N10/$N$22)</f>
        <v/>
      </c>
    </row>
    <row r="11" ht="14.85" customHeight="1" spans="1:15">
      <c r="A11" s="137"/>
      <c r="B11" s="140" t="s">
        <v>23</v>
      </c>
      <c r="C11" s="129" t="s">
        <v>17</v>
      </c>
      <c r="D11" s="130">
        <f>IFERROR(SUMPRODUCT((危旧房屋改造项目分表!$B$6:$B$353=$D$3)*(危旧房屋改造项目分表!$AD$6:AD$353="是")*(危旧房屋改造项目分表!AG$6:$AG$353="否")*(危旧房屋改造项目分表!$O$6:$O$353="维修加固")*(危旧房屋改造项目分表!$V$6:$V$353&gt;=11%)*(危旧房屋改造项目分表!$V$6:$V$353&lt;=30%)*危旧房屋改造项目分表!$AF$6:$AF$353),"")</f>
        <v>0</v>
      </c>
      <c r="E11" s="130">
        <f>IFERROR(SUMPRODUCT((危旧房屋改造项目分表!$B$6:$B$353=$E$3)*(危旧房屋改造项目分表!$AD$6:AD$353="是")*(危旧房屋改造项目分表!AG$6:$AG$353="否")*(危旧房屋改造项目分表!$O$6:$O$353="维修加固")*(危旧房屋改造项目分表!$V$6:$V$353&gt;=11%)*(危旧房屋改造项目分表!$V$6:$V$353&lt;=30%)*危旧房屋改造项目分表!$AF$6:$AF$353),"")</f>
        <v>0</v>
      </c>
      <c r="F11" s="130">
        <f>IFERROR(SUMPRODUCT((危旧房屋改造项目分表!$B$6:$B$353=$F$3)*(危旧房屋改造项目分表!$AD$6:AD$353="是")*(危旧房屋改造项目分表!AG$6:$AG$353="否")*(危旧房屋改造项目分表!$O$6:$O$353="维修加固")*(危旧房屋改造项目分表!$V$6:$V$353&gt;=11%)*(危旧房屋改造项目分表!$V$6:$V$353&lt;=30%)*危旧房屋改造项目分表!$AF$6:$AF$353),"")</f>
        <v>0</v>
      </c>
      <c r="G11" s="130">
        <f>IFERROR(SUMPRODUCT((危旧房屋改造项目分表!$B$6:$B$353=$G$3)*(危旧房屋改造项目分表!$AD$6:AD$353="是")*(危旧房屋改造项目分表!AG$6:$AG$353="否")*(危旧房屋改造项目分表!$O$6:$O$353="维修加固")*(危旧房屋改造项目分表!$V$6:$V$353&gt;=11%)*(危旧房屋改造项目分表!$V$6:$V$353&lt;=30%)*危旧房屋改造项目分表!$AF$6:$AF$353),"")</f>
        <v>0</v>
      </c>
      <c r="H11" s="130">
        <f>IFERROR(SUMPRODUCT((危旧房屋改造项目分表!$B$6:$B$353=$H$3)*(危旧房屋改造项目分表!$AD$6:AD$353="是")*(危旧房屋改造项目分表!AG$6:$AG$353="否")*(危旧房屋改造项目分表!$O$6:$O$353="维修加固")*(危旧房屋改造项目分表!$V$6:$V$353&gt;=11%)*(危旧房屋改造项目分表!$V$6:$V$353&lt;=30%)*危旧房屋改造项目分表!$AF$6:$AF$353),"")</f>
        <v>0</v>
      </c>
      <c r="I11" s="130">
        <f>IFERROR(SUMPRODUCT((危旧房屋改造项目分表!$B$6:$B$353=$I$3)*(危旧房屋改造项目分表!$AD$6:AD$353="是")*(危旧房屋改造项目分表!AG$6:$AG$353="否")*(危旧房屋改造项目分表!$O$6:$O$353="维修加固")*(危旧房屋改造项目分表!$V$6:$V$353&gt;=11%)*(危旧房屋改造项目分表!$V$6:$V$353&lt;=30%)*危旧房屋改造项目分表!$AF$6:$AF$353),"")</f>
        <v>0</v>
      </c>
      <c r="J11" s="130">
        <f>IFERROR(SUMPRODUCT((危旧房屋改造项目分表!$B$6:$B$353=$J$3)*(危旧房屋改造项目分表!$AD$6:AD$353="是")*(危旧房屋改造项目分表!AG$6:$AG$353="否")*(危旧房屋改造项目分表!$O$6:$O$353="维修加固")*(危旧房屋改造项目分表!$V$6:$V$353&gt;=11%)*(危旧房屋改造项目分表!$V$6:$V$353&lt;=30%)*危旧房屋改造项目分表!$AF$6:$AF$353),"")</f>
        <v>0</v>
      </c>
      <c r="K11" s="130">
        <f>IFERROR(SUMPRODUCT((危旧房屋改造项目分表!$B$6:$B$353=$K$3)*(危旧房屋改造项目分表!$AD$6:AD$353="是")*(危旧房屋改造项目分表!AG$6:$AG$353="否")*(危旧房屋改造项目分表!$O$6:$O$353="维修加固")*(危旧房屋改造项目分表!$V$6:$V$353&gt;=11%)*(危旧房屋改造项目分表!$V$6:$V$353&lt;=30%)*危旧房屋改造项目分表!$AF$6:$AF$353),"")</f>
        <v>0</v>
      </c>
      <c r="L11" s="130">
        <f>IFERROR(SUMPRODUCT((危旧房屋改造项目分表!$B$6:$B$353=$L$3)*(危旧房屋改造项目分表!$AD$6:AD$353="是")*(危旧房屋改造项目分表!AG$6:$AG$353="否")*(危旧房屋改造项目分表!$O$6:$O$353="维修加固")*(危旧房屋改造项目分表!$V$6:$V$353&gt;=11%)*(危旧房屋改造项目分表!$V$6:$V$353&lt;=30%)*危旧房屋改造项目分表!$AF$6:$AF$353),"")</f>
        <v>0</v>
      </c>
      <c r="M11" s="130">
        <f>IFERROR(SUMPRODUCT((危旧房屋改造项目分表!$AG$6:AH$353="是")*(危旧房屋改造项目分表!$AD$6:AD$353="是")*(危旧房屋改造项目分表!$O$6:$O$353="维修加固")*(危旧房屋改造项目分表!$V$6:$V$353&gt;=11%)*(危旧房屋改造项目分表!$V$6:$V$353&lt;=30%)*危旧房屋改造项目分表!$AF$6:$AF$353),"")</f>
        <v>0</v>
      </c>
      <c r="N11" s="130">
        <f>SUM($D$11:$M$11)</f>
        <v>0</v>
      </c>
      <c r="O11" s="149" t="str">
        <f>IF(ISERROR(N11/$N$20),"",N11/$N$20)</f>
        <v/>
      </c>
    </row>
    <row r="12" ht="14.85" customHeight="1" spans="1:15">
      <c r="A12" s="137"/>
      <c r="B12" s="140"/>
      <c r="C12" s="129" t="s">
        <v>18</v>
      </c>
      <c r="D12" s="130">
        <f>IFERROR(SUMPRODUCT((危旧房屋改造项目分表!$B$6:$B$353=$D$3)*(危旧房屋改造项目分表!$AD$6:AD$353="是")*(危旧房屋改造项目分表!AG$6:$AG$353="否")*(危旧房屋改造项目分表!$O$6:$O$353="维修加固")*(危旧房屋改造项目分表!$V$6:$V$353&gt;=11%)*(危旧房屋改造项目分表!$V$6:$V$353&lt;=30%)*危旧房屋改造项目分表!$K$6:$K$353),"")</f>
        <v>0</v>
      </c>
      <c r="E12" s="130">
        <f>IFERROR(SUMPRODUCT((危旧房屋改造项目分表!$B$6:$B$353=$E$3)*(危旧房屋改造项目分表!$AD$6:AD$353="是")*(危旧房屋改造项目分表!AG$6:$AG$353="否")*(危旧房屋改造项目分表!$O$6:$O$353="维修加固")*(危旧房屋改造项目分表!$V$6:$V$353&gt;=11%)*(危旧房屋改造项目分表!$V$6:$V$353&lt;=30%)*危旧房屋改造项目分表!$K$6:$K$353),"")</f>
        <v>0</v>
      </c>
      <c r="F12" s="130">
        <f>IFERROR(SUMPRODUCT((危旧房屋改造项目分表!$B$6:$B$353=$F$3)*(危旧房屋改造项目分表!$AD$6:AD$353="是")*(危旧房屋改造项目分表!AG$6:$AG$353="否")*(危旧房屋改造项目分表!$O$6:$O$353="维修加固")*(危旧房屋改造项目分表!$V$6:$V$353&gt;=11%)*(危旧房屋改造项目分表!$V$6:$V$353&lt;=30%)*危旧房屋改造项目分表!$K$6:$K$353),"")</f>
        <v>0</v>
      </c>
      <c r="G12" s="130">
        <f>IFERROR(SUMPRODUCT((危旧房屋改造项目分表!$B$6:$B$353=$G$3)*(危旧房屋改造项目分表!$AD$6:AD$353="是")*(危旧房屋改造项目分表!AG$6:$AG$353="否")*(危旧房屋改造项目分表!$O$6:$O$353="维修加固")*(危旧房屋改造项目分表!$V$6:$V$353&gt;=11%)*(危旧房屋改造项目分表!$V$6:$V$353&lt;=30%)*危旧房屋改造项目分表!$K$6:$K$353),"")</f>
        <v>0</v>
      </c>
      <c r="H12" s="130">
        <f>IFERROR(SUMPRODUCT((危旧房屋改造项目分表!$B$6:$B$353=$H$3)*(危旧房屋改造项目分表!$AD$6:AD$353="是")*(危旧房屋改造项目分表!AG$6:$AG$353="否")*(危旧房屋改造项目分表!$O$6:$O$353="维修加固")*(危旧房屋改造项目分表!$V$6:$V$353&gt;=11%)*(危旧房屋改造项目分表!$V$6:$V$353&lt;=30%)*危旧房屋改造项目分表!$K$6:$K$353),"")</f>
        <v>0</v>
      </c>
      <c r="I12" s="130">
        <f>IFERROR(SUMPRODUCT((危旧房屋改造项目分表!$B$6:$B$353=$I$3)*(危旧房屋改造项目分表!$AD$6:AD$353="是")*(危旧房屋改造项目分表!AG$6:$AG$353="否")*(危旧房屋改造项目分表!$O$6:$O$353="维修加固")*(危旧房屋改造项目分表!$V$6:$V$353&gt;=11%)*(危旧房屋改造项目分表!$V$6:$V$353&lt;=30%)*危旧房屋改造项目分表!$K$6:$K$353),"")</f>
        <v>0</v>
      </c>
      <c r="J12" s="130">
        <f>IFERROR(SUMPRODUCT((危旧房屋改造项目分表!$B$6:$B$353=$J$3)*(危旧房屋改造项目分表!$AD$6:AD$353="是")*(危旧房屋改造项目分表!AG$6:$AG$353="否")*(危旧房屋改造项目分表!$O$6:$O$353="维修加固")*(危旧房屋改造项目分表!$V$6:$V$353&gt;=11%)*(危旧房屋改造项目分表!$V$6:$V$353&lt;=30%)*危旧房屋改造项目分表!$K$6:$K$353),"")</f>
        <v>0</v>
      </c>
      <c r="K12" s="130">
        <f>IFERROR(SUMPRODUCT((危旧房屋改造项目分表!$B$6:$B$353=$K$3)*(危旧房屋改造项目分表!$AD$6:AD$353="是")*(危旧房屋改造项目分表!AG$6:$AG$353="否")*(危旧房屋改造项目分表!$O$6:$O$353="维修加固")*(危旧房屋改造项目分表!$V$6:$V$353&gt;=11%)*(危旧房屋改造项目分表!$V$6:$V$353&lt;=30%)*危旧房屋改造项目分表!$K$6:$K$353),"")</f>
        <v>0</v>
      </c>
      <c r="L12" s="130">
        <f>IFERROR(SUMPRODUCT((危旧房屋改造项目分表!$B$6:$B$353=$L$3)*(危旧房屋改造项目分表!$AD$6:AD$353="是")*(危旧房屋改造项目分表!AG$6:$AG$353="否")*(危旧房屋改造项目分表!$O$6:$O$353="维修加固")*(危旧房屋改造项目分表!$V$6:$V$353&gt;=11%)*(危旧房屋改造项目分表!$V$6:$V$353&lt;=30%)*危旧房屋改造项目分表!$K$6:$K$353),"")</f>
        <v>0</v>
      </c>
      <c r="M12" s="130">
        <f>IFERROR(SUMPRODUCT((危旧房屋改造项目分表!$AG$6:AH$353="是")*(危旧房屋改造项目分表!$AD$6:AD$353="是")*(危旧房屋改造项目分表!$O$6:$O$353="维修加固")*(危旧房屋改造项目分表!$V$6:$V$353&gt;=11%)*(危旧房屋改造项目分表!$V$6:$V$353&lt;=30%)*危旧房屋改造项目分表!$K$6:$K$353),"")</f>
        <v>0</v>
      </c>
      <c r="N12" s="130">
        <f>SUM($D$12:$M$12)</f>
        <v>0</v>
      </c>
      <c r="O12" s="149" t="str">
        <f>IF(ISERROR(N12/$N$21),"",N12/$N$21)</f>
        <v/>
      </c>
    </row>
    <row r="13" ht="14.85" customHeight="1" spans="1:15">
      <c r="A13" s="137"/>
      <c r="B13" s="140"/>
      <c r="C13" s="129" t="s">
        <v>19</v>
      </c>
      <c r="D13" s="130">
        <f>IFERROR(SUMPRODUCT((危旧房屋改造项目分表!$B$6:$B$353=$D$3)*(危旧房屋改造项目分表!$AD$6:AD$353="是")*(危旧房屋改造项目分表!AG$6:$AG$353="否")*(危旧房屋改造项目分表!$O$6:$O$353="维修加固")*(危旧房屋改造项目分表!$V$6:$V$353&gt;=11%)*(危旧房屋改造项目分表!$V$6:$V$353&lt;=30%)*危旧房屋改造项目分表!$L$6:$L$353),"")</f>
        <v>0</v>
      </c>
      <c r="E13" s="130">
        <f>IFERROR(SUMPRODUCT((危旧房屋改造项目分表!$B$6:$B$353=$E$3)*(危旧房屋改造项目分表!$AD$6:AD$353="是")*(危旧房屋改造项目分表!AG$6:$AG$353="否")*(危旧房屋改造项目分表!$O$6:$O$353="维修加固")*(危旧房屋改造项目分表!$V$6:$V$353&gt;=11%)*(危旧房屋改造项目分表!$V$6:$V$353&lt;=30%)*危旧房屋改造项目分表!$L$6:$L$353),"")</f>
        <v>0</v>
      </c>
      <c r="F13" s="130">
        <f>IFERROR(SUMPRODUCT((危旧房屋改造项目分表!$B$6:$B$353=$F$3)*(危旧房屋改造项目分表!$AD$6:AD$353="是")*(危旧房屋改造项目分表!AG$6:$AG$353="否")*(危旧房屋改造项目分表!$O$6:$O$353="维修加固")*(危旧房屋改造项目分表!$V$6:$V$353&gt;=11%)*(危旧房屋改造项目分表!$V$6:$V$353&lt;=30%)*危旧房屋改造项目分表!$L$6:$L$353),"")</f>
        <v>0</v>
      </c>
      <c r="G13" s="130">
        <f>IFERROR(SUMPRODUCT((危旧房屋改造项目分表!$B$6:$B$353=$G$3)*(危旧房屋改造项目分表!$AD$6:AD$353="是")*(危旧房屋改造项目分表!AG$6:$AG$353="否")*(危旧房屋改造项目分表!$O$6:$O$353="维修加固")*(危旧房屋改造项目分表!$V$6:$V$353&gt;=11%)*(危旧房屋改造项目分表!$V$6:$V$353&lt;=30%)*危旧房屋改造项目分表!$L$6:$L$353),"")</f>
        <v>0</v>
      </c>
      <c r="H13" s="130">
        <f>IFERROR(SUMPRODUCT((危旧房屋改造项目分表!$B$6:$B$353=$H$3)*(危旧房屋改造项目分表!$AD$6:AD$353="是")*(危旧房屋改造项目分表!AG$6:$AG$353="否")*(危旧房屋改造项目分表!$O$6:$O$353="维修加固")*(危旧房屋改造项目分表!$V$6:$V$353&gt;=11%)*(危旧房屋改造项目分表!$V$6:$V$353&lt;=30%)*危旧房屋改造项目分表!$L$6:$L$353),"")</f>
        <v>0</v>
      </c>
      <c r="I13" s="130">
        <f>IFERROR(SUMPRODUCT((危旧房屋改造项目分表!$B$6:$B$353=$I$3)*(危旧房屋改造项目分表!$AD$6:AD$353="是")*(危旧房屋改造项目分表!AG$6:$AG$353="否")*(危旧房屋改造项目分表!$O$6:$O$353="维修加固")*(危旧房屋改造项目分表!$V$6:$V$353&gt;=11%)*(危旧房屋改造项目分表!$V$6:$V$353&lt;=30%)*危旧房屋改造项目分表!$L$6:$L$353),"")</f>
        <v>0</v>
      </c>
      <c r="J13" s="130">
        <f>IFERROR(SUMPRODUCT((危旧房屋改造项目分表!$B$6:$B$353=$J$3)*(危旧房屋改造项目分表!$AD$6:AD$353="是")*(危旧房屋改造项目分表!AG$6:$AG$353="否")*(危旧房屋改造项目分表!$O$6:$O$353="维修加固")*(危旧房屋改造项目分表!$V$6:$V$353&gt;=11%)*(危旧房屋改造项目分表!$V$6:$V$353&lt;=30%)*危旧房屋改造项目分表!$L$6:$L$353),"")</f>
        <v>0</v>
      </c>
      <c r="K13" s="130">
        <f>IFERROR(SUMPRODUCT((危旧房屋改造项目分表!$B$6:$B$353=$K$3)*(危旧房屋改造项目分表!$AD$6:AD$353="是")*(危旧房屋改造项目分表!AG$6:$AG$353="否")*(危旧房屋改造项目分表!$O$6:$O$353="维修加固")*(危旧房屋改造项目分表!$V$6:$V$353&gt;=11%)*(危旧房屋改造项目分表!$V$6:$V$353&lt;=30%)*危旧房屋改造项目分表!$L$6:$L$353),"")</f>
        <v>0</v>
      </c>
      <c r="L13" s="130">
        <f>IFERROR(SUMPRODUCT((危旧房屋改造项目分表!$B$6:$B$353=$L$3)*(危旧房屋改造项目分表!$AD$6:AD$353="是")*(危旧房屋改造项目分表!AG$6:$AG$353="否")*(危旧房屋改造项目分表!$O$6:$O$353="维修加固")*(危旧房屋改造项目分表!$V$6:$V$353&gt;=11%)*(危旧房屋改造项目分表!$V$6:$V$353&lt;=30%)*危旧房屋改造项目分表!$L$6:$L$353),"")</f>
        <v>0</v>
      </c>
      <c r="M13" s="130">
        <f>IFERROR(SUMPRODUCT((危旧房屋改造项目分表!$AG$6:AH$353="是")*(危旧房屋改造项目分表!$AD$6:AD$353="是")*(危旧房屋改造项目分表!$O$6:$O$353="维修加固")*(危旧房屋改造项目分表!$V$6:$V$353&gt;=11%)*(危旧房屋改造项目分表!$V$6:$V$353&lt;=30%)*危旧房屋改造项目分表!$L$6:$L$353),"")</f>
        <v>0</v>
      </c>
      <c r="N13" s="130">
        <f>SUM($D$13:$M$13)</f>
        <v>0</v>
      </c>
      <c r="O13" s="149" t="str">
        <f>IF(ISERROR(N13/$N$22),"",N13/$N$22)</f>
        <v/>
      </c>
    </row>
    <row r="14" ht="14.85" customHeight="1" spans="1:15">
      <c r="A14" s="137"/>
      <c r="B14" s="140" t="s">
        <v>24</v>
      </c>
      <c r="C14" s="129" t="s">
        <v>17</v>
      </c>
      <c r="D14" s="130">
        <f>IFERROR(SUMPRODUCT((危旧房屋改造项目分表!$B$6:$B$353=$D$3)*(危旧房屋改造项目分表!$AD$6:AD$353="是")*(危旧房屋改造项目分表!AG$6:$AG$353="否")*(危旧房屋改造项目分表!$O$6:$O$353="维修加固")*(危旧房屋改造项目分表!$V$6:$V$353&gt;=31%)*(危旧房屋改造项目分表!$V$6:$V$353&lt;=89%)*危旧房屋改造项目分表!$AF$6:$AF$353),"")</f>
        <v>0</v>
      </c>
      <c r="E14" s="130">
        <f>IFERROR(SUMPRODUCT((危旧房屋改造项目分表!$B$6:$B$353=$E$3)*(危旧房屋改造项目分表!$AD$6:AD$353="是")*(危旧房屋改造项目分表!AG$6:$AG$353="否")*(危旧房屋改造项目分表!$O$6:$O$353="维修加固")*(危旧房屋改造项目分表!$V$6:$V$353&gt;=31%)*(危旧房屋改造项目分表!$V$6:$V$353&lt;=89%)*危旧房屋改造项目分表!$AF$6:$AF$353),"")</f>
        <v>0</v>
      </c>
      <c r="F14" s="130">
        <f>IFERROR(SUMPRODUCT((危旧房屋改造项目分表!$B$6:$B$353=$F$3)*(危旧房屋改造项目分表!$AD$6:AD$353="是")*(危旧房屋改造项目分表!AG$6:$AG$353="否")*(危旧房屋改造项目分表!$O$6:$O$353="维修加固")*(危旧房屋改造项目分表!$V$6:$V$353&gt;=31%)*(危旧房屋改造项目分表!$V$6:$V$353&lt;=89%)*危旧房屋改造项目分表!$AF$6:$AF$353),"")</f>
        <v>0</v>
      </c>
      <c r="G14" s="130">
        <f>IFERROR(SUMPRODUCT((危旧房屋改造项目分表!$B$6:$B$353=$G$3)*(危旧房屋改造项目分表!$AD$6:AD$353="是")*(危旧房屋改造项目分表!AG$6:$AG$353="否")*(危旧房屋改造项目分表!$O$6:$O$353="维修加固")*(危旧房屋改造项目分表!$V$6:$V$353&gt;=31%)*(危旧房屋改造项目分表!$V$6:$V$353&lt;=89%)*危旧房屋改造项目分表!$AF$6:$AF$353),"")</f>
        <v>0</v>
      </c>
      <c r="H14" s="130">
        <f>IFERROR(SUMPRODUCT((危旧房屋改造项目分表!$B$6:$B$353=$H$3)*(危旧房屋改造项目分表!$AD$6:AD$353="是")*(危旧房屋改造项目分表!AG$6:$AG$353="否")*(危旧房屋改造项目分表!$O$6:$O$353="维修加固")*(危旧房屋改造项目分表!$V$6:$V$353&gt;=31%)*(危旧房屋改造项目分表!$V$6:$V$353&lt;=89%)*危旧房屋改造项目分表!$AF$6:$AF$353),"")</f>
        <v>0</v>
      </c>
      <c r="I14" s="130">
        <f>IFERROR(SUMPRODUCT((危旧房屋改造项目分表!$B$6:$B$353=$I$3)*(危旧房屋改造项目分表!$AD$6:AD$353="是")*(危旧房屋改造项目分表!AG$6:$AG$353="否")*(危旧房屋改造项目分表!$O$6:$O$353="维修加固")*(危旧房屋改造项目分表!$V$6:$V$353&gt;=31%)*(危旧房屋改造项目分表!$V$6:$V$353&lt;=89%)*危旧房屋改造项目分表!$AF$6:$AF$353),"")</f>
        <v>0</v>
      </c>
      <c r="J14" s="130">
        <f>IFERROR(SUMPRODUCT((危旧房屋改造项目分表!$B$6:$B$353=$J$3)*(危旧房屋改造项目分表!$AD$6:AD$353="是")*(危旧房屋改造项目分表!AG$6:$AG$353="否")*(危旧房屋改造项目分表!$O$6:$O$353="维修加固")*(危旧房屋改造项目分表!$V$6:$V$353&gt;=31%)*(危旧房屋改造项目分表!$V$6:$V$353&lt;=89%)*危旧房屋改造项目分表!$AF$6:$AF$353),"")</f>
        <v>0</v>
      </c>
      <c r="K14" s="130">
        <f>IFERROR(SUMPRODUCT((危旧房屋改造项目分表!$B$6:$B$353=$K$3)*(危旧房屋改造项目分表!$AD$6:AD$353="是")*(危旧房屋改造项目分表!AG$6:$AG$353="否")*(危旧房屋改造项目分表!$O$6:$O$353="维修加固")*(危旧房屋改造项目分表!$V$6:$V$353&gt;=31%)*(危旧房屋改造项目分表!$V$6:$V$353&lt;=89%)*危旧房屋改造项目分表!$AF$6:$AF$353),"")</f>
        <v>0</v>
      </c>
      <c r="L14" s="130">
        <f>IFERROR(SUMPRODUCT((危旧房屋改造项目分表!$B$6:$B$353=$L$3)*(危旧房屋改造项目分表!$AD$6:AD$353="是")*(危旧房屋改造项目分表!AG$6:$AG$353="否")*(危旧房屋改造项目分表!$O$6:$O$353="维修加固")*(危旧房屋改造项目分表!$V$6:$V$353&gt;=31%)*(危旧房屋改造项目分表!$V$6:$V$353&lt;=89%)*危旧房屋改造项目分表!$AF$6:$AF$353),"")</f>
        <v>0</v>
      </c>
      <c r="M14" s="130">
        <f>IFERROR(SUMPRODUCT((危旧房屋改造项目分表!$AG$6:AH$353="是")*(危旧房屋改造项目分表!$AD$6:AD$353="是")*(危旧房屋改造项目分表!$O$6:$O$353="维修加固")*(危旧房屋改造项目分表!$V$6:$V$353&gt;=31%)*(危旧房屋改造项目分表!$V$6:$V$353&lt;=89%)*危旧房屋改造项目分表!$AF$6:$AF$353),"")</f>
        <v>0</v>
      </c>
      <c r="N14" s="130">
        <f>SUM($D$14:$M$14)</f>
        <v>0</v>
      </c>
      <c r="O14" s="149" t="str">
        <f>IF(ISERROR(N14/$N$20),"",N14/$N$20)</f>
        <v/>
      </c>
    </row>
    <row r="15" ht="14.85" customHeight="1" spans="1:15">
      <c r="A15" s="137"/>
      <c r="B15" s="140"/>
      <c r="C15" s="129" t="s">
        <v>18</v>
      </c>
      <c r="D15" s="130">
        <f>IFERROR(SUMPRODUCT((危旧房屋改造项目分表!$B$6:$B$353=$D$3)*(危旧房屋改造项目分表!$AD$6:AD$353="是")*(危旧房屋改造项目分表!AG$6:$AG$353="否")*(危旧房屋改造项目分表!$O$6:$O$353="维修加固")*(危旧房屋改造项目分表!$V$6:$V$353&gt;=31%)*(危旧房屋改造项目分表!$V$6:$V$353&lt;=89%)*危旧房屋改造项目分表!$K$6:$K$353),"")</f>
        <v>0</v>
      </c>
      <c r="E15" s="130">
        <f>IFERROR(SUMPRODUCT((危旧房屋改造项目分表!$B$6:$B$353=$E$3)*(危旧房屋改造项目分表!$AD$6:AD$353="是")*(危旧房屋改造项目分表!AG$6:$AG$353="否")*(危旧房屋改造项目分表!$O$6:$O$353="维修加固")*(危旧房屋改造项目分表!$V$6:$V$353&gt;=31%)*(危旧房屋改造项目分表!$V$6:$V$353&lt;=89%)*危旧房屋改造项目分表!$K$6:$K$353),"")</f>
        <v>0</v>
      </c>
      <c r="F15" s="130">
        <f>IFERROR(SUMPRODUCT((危旧房屋改造项目分表!$B$6:$B$353=$F$3)*(危旧房屋改造项目分表!$AD$6:AD$353="是")*(危旧房屋改造项目分表!AG$6:$AG$353="否")*(危旧房屋改造项目分表!$O$6:$O$353="维修加固")*(危旧房屋改造项目分表!$V$6:$V$353&gt;=31%)*(危旧房屋改造项目分表!$V$6:$V$353&lt;=89%)*危旧房屋改造项目分表!$K$6:$K$353),"")</f>
        <v>0</v>
      </c>
      <c r="G15" s="130">
        <f>IFERROR(SUMPRODUCT((危旧房屋改造项目分表!$B$6:$B$353=$G$3)*(危旧房屋改造项目分表!$AD$6:AD$353="是")*(危旧房屋改造项目分表!AG$6:$AG$353="否")*(危旧房屋改造项目分表!$O$6:$O$353="维修加固")*(危旧房屋改造项目分表!$V$6:$V$353&gt;=31%)*(危旧房屋改造项目分表!$V$6:$V$353&lt;=89%)*危旧房屋改造项目分表!$K$6:$K$353),"")</f>
        <v>0</v>
      </c>
      <c r="H15" s="130">
        <f>IFERROR(SUMPRODUCT((危旧房屋改造项目分表!$B$6:$B$353=$H$3)*(危旧房屋改造项目分表!$AD$6:AD$353="是")*(危旧房屋改造项目分表!AG$6:$AG$353="否")*(危旧房屋改造项目分表!$O$6:$O$353="维修加固")*(危旧房屋改造项目分表!$V$6:$V$353&gt;=31%)*(危旧房屋改造项目分表!$V$6:$V$353&lt;=89%)*危旧房屋改造项目分表!$K$6:$K$353),"")</f>
        <v>0</v>
      </c>
      <c r="I15" s="130">
        <f>IFERROR(SUMPRODUCT((危旧房屋改造项目分表!$B$6:$B$353=$I$3)*(危旧房屋改造项目分表!$AD$6:AD$353="是")*(危旧房屋改造项目分表!AG$6:$AG$353="否")*(危旧房屋改造项目分表!$O$6:$O$353="维修加固")*(危旧房屋改造项目分表!$V$6:$V$353&gt;=31%)*(危旧房屋改造项目分表!$V$6:$V$353&lt;=89%)*危旧房屋改造项目分表!$K$6:$K$353),"")</f>
        <v>0</v>
      </c>
      <c r="J15" s="130">
        <f>IFERROR(SUMPRODUCT((危旧房屋改造项目分表!$B$6:$B$353=$J$3)*(危旧房屋改造项目分表!$AD$6:AD$353="是")*(危旧房屋改造项目分表!AG$6:$AG$353="否")*(危旧房屋改造项目分表!$O$6:$O$353="维修加固")*(危旧房屋改造项目分表!$V$6:$V$353&gt;=31%)*(危旧房屋改造项目分表!$V$6:$V$353&lt;=89%)*危旧房屋改造项目分表!$K$6:$K$353),"")</f>
        <v>0</v>
      </c>
      <c r="K15" s="130">
        <f>IFERROR(SUMPRODUCT((危旧房屋改造项目分表!$B$6:$B$353=$K$3)*(危旧房屋改造项目分表!$AD$6:AD$353="是")*(危旧房屋改造项目分表!AG$6:$AG$353="否")*(危旧房屋改造项目分表!$O$6:$O$353="维修加固")*(危旧房屋改造项目分表!$V$6:$V$353&gt;=31%)*(危旧房屋改造项目分表!$V$6:$V$353&lt;=89%)*危旧房屋改造项目分表!$K$6:$K$353),"")</f>
        <v>0</v>
      </c>
      <c r="L15" s="130">
        <f>IFERROR(SUMPRODUCT((危旧房屋改造项目分表!$B$6:$B$353=$L$3)*(危旧房屋改造项目分表!$AD$6:AD$353="是")*(危旧房屋改造项目分表!AG$6:$AG$353="否")*(危旧房屋改造项目分表!$O$6:$O$353="维修加固")*(危旧房屋改造项目分表!$V$6:$V$353&gt;=31%)*(危旧房屋改造项目分表!$V$6:$V$353&lt;=89%)*危旧房屋改造项目分表!$K$6:$K$353),"")</f>
        <v>0</v>
      </c>
      <c r="M15" s="130">
        <f>IFERROR(SUMPRODUCT((危旧房屋改造项目分表!$AG$6:AH$353="是")*(危旧房屋改造项目分表!$AD$6:AD$353="是")*(危旧房屋改造项目分表!$O$6:$O$353="维修加固")*(危旧房屋改造项目分表!$V$6:$V$353&gt;=31%)*(危旧房屋改造项目分表!$V$6:$V$353&lt;=89%)*危旧房屋改造项目分表!$K$6:$K$353),"")</f>
        <v>0</v>
      </c>
      <c r="N15" s="130">
        <f>SUM($D$15:$M$15)</f>
        <v>0</v>
      </c>
      <c r="O15" s="149" t="str">
        <f>IF(ISERROR(N15/$N$21),"",N15/$N$21)</f>
        <v/>
      </c>
    </row>
    <row r="16" ht="14.85" customHeight="1" spans="1:15">
      <c r="A16" s="137"/>
      <c r="B16" s="140"/>
      <c r="C16" s="129" t="s">
        <v>19</v>
      </c>
      <c r="D16" s="130">
        <f>IFERROR(SUMPRODUCT((危旧房屋改造项目分表!$B$6:$B$353=$D$3)*(危旧房屋改造项目分表!$AD$6:AD$353="是")*(危旧房屋改造项目分表!AG$6:$AG$353="否")*(危旧房屋改造项目分表!$O$6:$O$353="维修加固")*(危旧房屋改造项目分表!$V$6:$V$353&gt;=31%)*(危旧房屋改造项目分表!$V$6:$V$353&lt;=89%)*危旧房屋改造项目分表!$L$6:$L$353),"")</f>
        <v>0</v>
      </c>
      <c r="E16" s="130">
        <f>IFERROR(SUMPRODUCT((危旧房屋改造项目分表!$B$6:$B$353=$E$3)*(危旧房屋改造项目分表!$AD$6:AD$353="是")*(危旧房屋改造项目分表!AG$6:$AG$353="否")*(危旧房屋改造项目分表!$O$6:$O$353="维修加固")*(危旧房屋改造项目分表!$V$6:$V$353&gt;=31%)*(危旧房屋改造项目分表!$V$6:$V$353&lt;=89%)*危旧房屋改造项目分表!$L$6:$L$353),"")</f>
        <v>0</v>
      </c>
      <c r="F16" s="130">
        <f>IFERROR(SUMPRODUCT((危旧房屋改造项目分表!$B$6:$B$353=$F$3)*(危旧房屋改造项目分表!$AD$6:AD$353="是")*(危旧房屋改造项目分表!AG$6:$AG$353="否")*(危旧房屋改造项目分表!$O$6:$O$353="维修加固")*(危旧房屋改造项目分表!$V$6:$V$353&gt;=31%)*(危旧房屋改造项目分表!$V$6:$V$353&lt;=89%)*危旧房屋改造项目分表!$L$6:$L$353),"")</f>
        <v>0</v>
      </c>
      <c r="G16" s="130">
        <f>IFERROR(SUMPRODUCT((危旧房屋改造项目分表!$B$6:$B$353=$G$3)*(危旧房屋改造项目分表!$AD$6:AD$353="是")*(危旧房屋改造项目分表!AG$6:$AG$353="否")*(危旧房屋改造项目分表!$O$6:$O$353="维修加固")*(危旧房屋改造项目分表!$V$6:$V$353&gt;=31%)*(危旧房屋改造项目分表!$V$6:$V$353&lt;=89%)*危旧房屋改造项目分表!$L$6:$L$353),"")</f>
        <v>0</v>
      </c>
      <c r="H16" s="130">
        <f>IFERROR(SUMPRODUCT((危旧房屋改造项目分表!$B$6:$B$353=$H$3)*(危旧房屋改造项目分表!$AD$6:AD$353="是")*(危旧房屋改造项目分表!AG$6:$AG$353="否")*(危旧房屋改造项目分表!$O$6:$O$353="维修加固")*(危旧房屋改造项目分表!$V$6:$V$353&gt;=31%)*(危旧房屋改造项目分表!$V$6:$V$353&lt;=89%)*危旧房屋改造项目分表!$L$6:$L$353),"")</f>
        <v>0</v>
      </c>
      <c r="I16" s="130">
        <f>IFERROR(SUMPRODUCT((危旧房屋改造项目分表!$B$6:$B$353=$I$3)*(危旧房屋改造项目分表!$AD$6:AD$353="是")*(危旧房屋改造项目分表!AG$6:$AG$353="否")*(危旧房屋改造项目分表!$O$6:$O$353="维修加固")*(危旧房屋改造项目分表!$V$6:$V$353&gt;=31%)*(危旧房屋改造项目分表!$V$6:$V$353&lt;=89%)*危旧房屋改造项目分表!$L$6:$L$353),"")</f>
        <v>0</v>
      </c>
      <c r="J16" s="130">
        <f>IFERROR(SUMPRODUCT((危旧房屋改造项目分表!$B$6:$B$353=$J$3)*(危旧房屋改造项目分表!$AD$6:AD$353="是")*(危旧房屋改造项目分表!AG$6:$AG$353="否")*(危旧房屋改造项目分表!$O$6:$O$353="维修加固")*(危旧房屋改造项目分表!$V$6:$V$353&gt;=31%)*(危旧房屋改造项目分表!$V$6:$V$353&lt;=89%)*危旧房屋改造项目分表!$L$6:$L$353),"")</f>
        <v>0</v>
      </c>
      <c r="K16" s="130">
        <f>IFERROR(SUMPRODUCT((危旧房屋改造项目分表!$B$6:$B$353=$K$3)*(危旧房屋改造项目分表!$AD$6:AD$353="是")*(危旧房屋改造项目分表!AG$6:$AG$353="否")*(危旧房屋改造项目分表!$O$6:$O$353="维修加固")*(危旧房屋改造项目分表!$V$6:$V$353&gt;=31%)*(危旧房屋改造项目分表!$V$6:$V$353&lt;=89%)*危旧房屋改造项目分表!$L$6:$L$353),"")</f>
        <v>0</v>
      </c>
      <c r="L16" s="130">
        <f>IFERROR(SUMPRODUCT((危旧房屋改造项目分表!$B$6:$B$353=$L$3)*(危旧房屋改造项目分表!$AD$6:AD$353="是")*(危旧房屋改造项目分表!AG$6:$AG$353="否")*(危旧房屋改造项目分表!$O$6:$O$353="维修加固")*(危旧房屋改造项目分表!$V$6:$V$353&gt;=31%)*(危旧房屋改造项目分表!$V$6:$V$353&lt;=89%)*危旧房屋改造项目分表!$L$6:$L$353),"")</f>
        <v>0</v>
      </c>
      <c r="M16" s="130">
        <f>IFERROR(SUMPRODUCT((危旧房屋改造项目分表!$AG$6:AH$353="是")*(危旧房屋改造项目分表!$AD$6:AD$353="是")*(危旧房屋改造项目分表!$O$6:$O$353="维修加固")*(危旧房屋改造项目分表!$V$6:$V$353&gt;=31%)*(危旧房屋改造项目分表!$V$6:$V$353&lt;=89%)*危旧房屋改造项目分表!$L$6:$L$353),"")</f>
        <v>0</v>
      </c>
      <c r="N16" s="130">
        <f>SUM($D$16:$M$16)</f>
        <v>0</v>
      </c>
      <c r="O16" s="149" t="str">
        <f>IF(ISERROR(N16/$N$22),"",N16/$N$22)</f>
        <v/>
      </c>
    </row>
    <row r="17" ht="14.85" customHeight="1" spans="1:15">
      <c r="A17" s="137"/>
      <c r="B17" s="140" t="s">
        <v>25</v>
      </c>
      <c r="C17" s="129" t="s">
        <v>17</v>
      </c>
      <c r="D17" s="130">
        <f>IFERROR(SUMPRODUCT((危旧房屋改造项目分表!$B$6:$B$353=$D$3)*(危旧房屋改造项目分表!$AD$6:AD$353="是")*(危旧房屋改造项目分表!AG$6:$AG$353="否")*(危旧房屋改造项目分表!$O$6:$O$353="维修加固")*(危旧房屋改造项目分表!$V$6:$V$353&gt;=90%)*危旧房屋改造项目分表!$AF$6:$AF$353),"")</f>
        <v>0</v>
      </c>
      <c r="E17" s="130">
        <f>IFERROR(SUMPRODUCT((危旧房屋改造项目分表!$B$6:$B$353=$E$3)*(危旧房屋改造项目分表!$AD$6:AD$353="是")*(危旧房屋改造项目分表!AG$6:$AG$353="否")*(危旧房屋改造项目分表!$O$6:$O$353="维修加固")*(危旧房屋改造项目分表!$V$6:$V$353&gt;=90%)*危旧房屋改造项目分表!$AF$6:$AF$353),"")</f>
        <v>0</v>
      </c>
      <c r="F17" s="130">
        <f>IFERROR(SUMPRODUCT((危旧房屋改造项目分表!$B$6:$B$353=$F$3)*(危旧房屋改造项目分表!$AD$6:AD$353="是")*(危旧房屋改造项目分表!AG$6:$AG$353="否")*(危旧房屋改造项目分表!$O$6:$O$353="维修加固")*(危旧房屋改造项目分表!$V$6:$V$353&gt;=90%)*危旧房屋改造项目分表!$AF$6:$AF$353),"")</f>
        <v>0</v>
      </c>
      <c r="G17" s="130">
        <f>IFERROR(SUMPRODUCT((危旧房屋改造项目分表!$B$6:$B$353=$G$3)*(危旧房屋改造项目分表!$AD$6:AD$353="是")*(危旧房屋改造项目分表!AG$6:$AG$353="否")*(危旧房屋改造项目分表!$O$6:$O$353="维修加固")*(危旧房屋改造项目分表!$V$6:$V$353&gt;=90%)*危旧房屋改造项目分表!$AF$6:$AF$353),"")</f>
        <v>0</v>
      </c>
      <c r="H17" s="130">
        <f>IFERROR(SUMPRODUCT((危旧房屋改造项目分表!$B$6:$B$353=$H$3)*(危旧房屋改造项目分表!$AD$6:AD$353="是")*(危旧房屋改造项目分表!AG$6:$AG$353="否")*(危旧房屋改造项目分表!$O$6:$O$353="维修加固")*(危旧房屋改造项目分表!$V$6:$V$353&gt;=90%)*危旧房屋改造项目分表!$AF$6:$AF$353),"")</f>
        <v>0</v>
      </c>
      <c r="I17" s="130">
        <f>IFERROR(SUMPRODUCT((危旧房屋改造项目分表!$B$6:$B$353=$I$3)*(危旧房屋改造项目分表!$AD$6:AD$353="是")*(危旧房屋改造项目分表!AG$6:$AG$353="否")*(危旧房屋改造项目分表!$O$6:$O$353="维修加固")*(危旧房屋改造项目分表!$V$6:$V$353&gt;=90%)*危旧房屋改造项目分表!$AF$6:$AF$353),"")</f>
        <v>0</v>
      </c>
      <c r="J17" s="130">
        <f>IFERROR(SUMPRODUCT((危旧房屋改造项目分表!$B$6:$B$353=$J$3)*(危旧房屋改造项目分表!$AD$6:AD$353="是")*(危旧房屋改造项目分表!AG$6:$AG$353="否")*(危旧房屋改造项目分表!$O$6:$O$353="维修加固")*(危旧房屋改造项目分表!$V$6:$V$353&gt;=90%)*危旧房屋改造项目分表!$AF$6:$AF$353),"")</f>
        <v>0</v>
      </c>
      <c r="K17" s="130">
        <f>IFERROR(SUMPRODUCT((危旧房屋改造项目分表!$B$6:$B$353=$K$3)*(危旧房屋改造项目分表!$AD$6:AD$353="是")*(危旧房屋改造项目分表!AG$6:$AG$353="否")*(危旧房屋改造项目分表!$O$6:$O$353="维修加固")*(危旧房屋改造项目分表!$V$6:$V$353&gt;=90%)*危旧房屋改造项目分表!$AF$6:$AF$353),"")</f>
        <v>0</v>
      </c>
      <c r="L17" s="130">
        <f>IFERROR(SUMPRODUCT((危旧房屋改造项目分表!$B$6:$B$353=$L$3)*(危旧房屋改造项目分表!$AD$6:AD$353="是")*(危旧房屋改造项目分表!AG$6:$AG$353="否")*(危旧房屋改造项目分表!$O$6:$O$353="维修加固")*(危旧房屋改造项目分表!$V$6:$V$353&gt;=90%)*危旧房屋改造项目分表!$AF$6:$AF$353),"")</f>
        <v>0</v>
      </c>
      <c r="M17" s="130">
        <f>IFERROR(SUMPRODUCT((危旧房屋改造项目分表!$AG$6:AH$353="是")*(危旧房屋改造项目分表!$AD$6:AD$353="是")*(危旧房屋改造项目分表!$O$6:$O$353="维修加固")*(危旧房屋改造项目分表!$V$6:$V$353&gt;=90%)*危旧房屋改造项目分表!$AF$6:$AF$353),"")</f>
        <v>0</v>
      </c>
      <c r="N17" s="130">
        <f>SUM($D$17:$M$17)</f>
        <v>0</v>
      </c>
      <c r="O17" s="149" t="str">
        <f>IF(ISERROR(N17/$N$20),"",N17/$N$20)</f>
        <v/>
      </c>
    </row>
    <row r="18" ht="14.85" customHeight="1" spans="1:15">
      <c r="A18" s="137"/>
      <c r="B18" s="140"/>
      <c r="C18" s="129" t="s">
        <v>18</v>
      </c>
      <c r="D18" s="130">
        <f>IFERROR(SUMPRODUCT((危旧房屋改造项目分表!$B$6:$B$353=$D$3)*(危旧房屋改造项目分表!$AD$6:AD$353="是")*(危旧房屋改造项目分表!AG$6:$AG$353="否")*(危旧房屋改造项目分表!$O$6:$O$353="维修加固")*(危旧房屋改造项目分表!$V$6:$V$353&gt;=90%)*危旧房屋改造项目分表!$K$6:$K$353),"")</f>
        <v>0</v>
      </c>
      <c r="E18" s="130">
        <f>IFERROR(SUMPRODUCT((危旧房屋改造项目分表!$B$6:$B$353=$E$3)*(危旧房屋改造项目分表!$AD$6:AD$353="是")*(危旧房屋改造项目分表!AG$6:$AG$353="否")*(危旧房屋改造项目分表!$O$6:$O$353="维修加固")*(危旧房屋改造项目分表!$V$6:$V$353&gt;=90%)*危旧房屋改造项目分表!$K$6:$K$353),"")</f>
        <v>0</v>
      </c>
      <c r="F18" s="130">
        <f>IFERROR(SUMPRODUCT((危旧房屋改造项目分表!$B$6:$B$353=$F$3)*(危旧房屋改造项目分表!$AD$6:AD$353="是")*(危旧房屋改造项目分表!AG$6:$AG$353="否")*(危旧房屋改造项目分表!$O$6:$O$353="维修加固")*(危旧房屋改造项目分表!$V$6:$V$353&gt;=90%)*危旧房屋改造项目分表!$K$6:$K$353),"")</f>
        <v>0</v>
      </c>
      <c r="G18" s="130">
        <f>IFERROR(SUMPRODUCT((危旧房屋改造项目分表!$B$6:$B$353=$G$3)*(危旧房屋改造项目分表!$AD$6:AD$353="是")*(危旧房屋改造项目分表!AG$6:$AG$353="否")*(危旧房屋改造项目分表!$O$6:$O$353="维修加固")*(危旧房屋改造项目分表!$V$6:$V$353&gt;=90%)*危旧房屋改造项目分表!$K$6:$K$353),"")</f>
        <v>0</v>
      </c>
      <c r="H18" s="130">
        <f>IFERROR(SUMPRODUCT((危旧房屋改造项目分表!$B$6:$B$353=$H$3)*(危旧房屋改造项目分表!$AD$6:AD$353="是")*(危旧房屋改造项目分表!AG$6:$AG$353="否")*(危旧房屋改造项目分表!$O$6:$O$353="维修加固")*(危旧房屋改造项目分表!$V$6:$V$353&gt;=90%)*危旧房屋改造项目分表!$K$6:$K$353),"")</f>
        <v>0</v>
      </c>
      <c r="I18" s="130">
        <f>IFERROR(SUMPRODUCT((危旧房屋改造项目分表!$B$6:$B$353=$I$3)*(危旧房屋改造项目分表!$AD$6:AD$353="是")*(危旧房屋改造项目分表!AG$6:$AG$353="否")*(危旧房屋改造项目分表!$O$6:$O$353="维修加固")*(危旧房屋改造项目分表!$V$6:$V$353&gt;=90%)*危旧房屋改造项目分表!$K$6:$K$353),"")</f>
        <v>0</v>
      </c>
      <c r="J18" s="130">
        <f>IFERROR(SUMPRODUCT((危旧房屋改造项目分表!$B$6:$B$353=$J$3)*(危旧房屋改造项目分表!$AD$6:AD$353="是")*(危旧房屋改造项目分表!AG$6:$AG$353="否")*(危旧房屋改造项目分表!$O$6:$O$353="维修加固")*(危旧房屋改造项目分表!$V$6:$V$353&gt;=90%)*危旧房屋改造项目分表!$K$6:$K$353),"")</f>
        <v>0</v>
      </c>
      <c r="K18" s="130">
        <f>IFERROR(SUMPRODUCT((危旧房屋改造项目分表!$B$6:$B$353=$K$3)*(危旧房屋改造项目分表!$AD$6:AD$353="是")*(危旧房屋改造项目分表!AG$6:$AG$353="否")*(危旧房屋改造项目分表!$O$6:$O$353="维修加固")*(危旧房屋改造项目分表!$V$6:$V$353&gt;=90%)*危旧房屋改造项目分表!$K$6:$K$353),"")</f>
        <v>0</v>
      </c>
      <c r="L18" s="130">
        <f>IFERROR(SUMPRODUCT((危旧房屋改造项目分表!$B$6:$B$353=$L$3)*(危旧房屋改造项目分表!$AD$6:AD$353="是")*(危旧房屋改造项目分表!AG$6:$AG$353="否")*(危旧房屋改造项目分表!$O$6:$O$353="维修加固")*(危旧房屋改造项目分表!$V$6:$V$353&gt;=90%)*危旧房屋改造项目分表!$K$6:$K$353),"")</f>
        <v>0</v>
      </c>
      <c r="M18" s="130">
        <f>IFERROR(SUMPRODUCT((危旧房屋改造项目分表!$AG$6:AH$353="是")*(危旧房屋改造项目分表!$AD$6:AD$353="是")*(危旧房屋改造项目分表!$O$6:$O$353="维修加固")*(危旧房屋改造项目分表!$V$6:$V$353&gt;=90%)*危旧房屋改造项目分表!$K$6:$K$353),"")</f>
        <v>0</v>
      </c>
      <c r="N18" s="130">
        <f>SUM($D$18:$M$18)</f>
        <v>0</v>
      </c>
      <c r="O18" s="149" t="str">
        <f>IF(ISERROR(N18/$N$21),"",N18/$N$21)</f>
        <v/>
      </c>
    </row>
    <row r="19" ht="14.85" customHeight="1" spans="1:15">
      <c r="A19" s="137"/>
      <c r="B19" s="140"/>
      <c r="C19" s="129" t="s">
        <v>19</v>
      </c>
      <c r="D19" s="130">
        <f>IFERROR(SUMPRODUCT((危旧房屋改造项目分表!$B$6:$B$353=$D$3)*(危旧房屋改造项目分表!$AD$6:AD$353="是")*(危旧房屋改造项目分表!AG$6:$AG$353="否")*(危旧房屋改造项目分表!$O$6:$O$353="维修加固")*(危旧房屋改造项目分表!$V$6:$V$353&gt;=90%)*危旧房屋改造项目分表!$L$6:$L$353),"")</f>
        <v>0</v>
      </c>
      <c r="E19" s="130">
        <f>IFERROR(SUMPRODUCT((危旧房屋改造项目分表!$B$6:$B$353=$E$3)*(危旧房屋改造项目分表!$AD$6:AD$353="是")*(危旧房屋改造项目分表!AG$6:$AG$353="否")*(危旧房屋改造项目分表!$O$6:$O$353="维修加固")*(危旧房屋改造项目分表!$V$6:$V$353&gt;=90%)*危旧房屋改造项目分表!$L$6:$L$353),"")</f>
        <v>0</v>
      </c>
      <c r="F19" s="130">
        <f>IFERROR(SUMPRODUCT((危旧房屋改造项目分表!$B$6:$B$353=$F$3)*(危旧房屋改造项目分表!$AD$6:AD$353="是")*(危旧房屋改造项目分表!AG$6:$AG$353="否")*(危旧房屋改造项目分表!$O$6:$O$353="维修加固")*(危旧房屋改造项目分表!$V$6:$V$353&gt;=90%)*危旧房屋改造项目分表!$L$6:$L$353),"")</f>
        <v>0</v>
      </c>
      <c r="G19" s="130">
        <f>IFERROR(SUMPRODUCT((危旧房屋改造项目分表!$B$6:$B$353=$G$3)*(危旧房屋改造项目分表!$AD$6:AD$353="是")*(危旧房屋改造项目分表!AG$6:$AG$353="否")*(危旧房屋改造项目分表!$O$6:$O$353="维修加固")*(危旧房屋改造项目分表!$V$6:$V$353&gt;=90%)*危旧房屋改造项目分表!$L$6:$L$353),"")</f>
        <v>0</v>
      </c>
      <c r="H19" s="130">
        <f>IFERROR(SUMPRODUCT((危旧房屋改造项目分表!$B$6:$B$353=$H$3)*(危旧房屋改造项目分表!$AD$6:AD$353="是")*(危旧房屋改造项目分表!AG$6:$AG$353="否")*(危旧房屋改造项目分表!$O$6:$O$353="维修加固")*(危旧房屋改造项目分表!$V$6:$V$353&gt;=90%)*危旧房屋改造项目分表!$L$6:$L$353),"")</f>
        <v>0</v>
      </c>
      <c r="I19" s="130">
        <f>IFERROR(SUMPRODUCT((危旧房屋改造项目分表!$B$6:$B$353=$I$3)*(危旧房屋改造项目分表!$AD$6:AD$353="是")*(危旧房屋改造项目分表!AG$6:$AG$353="否")*(危旧房屋改造项目分表!$O$6:$O$353="维修加固")*(危旧房屋改造项目分表!$V$6:$V$353&gt;=90%)*危旧房屋改造项目分表!$L$6:$L$353),"")</f>
        <v>0</v>
      </c>
      <c r="J19" s="130">
        <f>IFERROR(SUMPRODUCT((危旧房屋改造项目分表!$B$6:$B$353=$J$3)*(危旧房屋改造项目分表!$AD$6:AD$353="是")*(危旧房屋改造项目分表!AG$6:$AG$353="否")*(危旧房屋改造项目分表!$O$6:$O$353="维修加固")*(危旧房屋改造项目分表!$V$6:$V$353&gt;=90%)*危旧房屋改造项目分表!$L$6:$L$353),"")</f>
        <v>0</v>
      </c>
      <c r="K19" s="130">
        <f>IFERROR(SUMPRODUCT((危旧房屋改造项目分表!$B$6:$B$353=$K$3)*(危旧房屋改造项目分表!$AD$6:AD$353="是")*(危旧房屋改造项目分表!AG$6:$AG$353="否")*(危旧房屋改造项目分表!$O$6:$O$353="维修加固")*(危旧房屋改造项目分表!$V$6:$V$353&gt;=90%)*危旧房屋改造项目分表!$L$6:$L$353),"")</f>
        <v>0</v>
      </c>
      <c r="L19" s="130">
        <f>IFERROR(SUMPRODUCT((危旧房屋改造项目分表!$B$6:$B$353=$L$3)*(危旧房屋改造项目分表!$AD$6:AD$353="是")*(危旧房屋改造项目分表!AG$6:$AG$353="否")*(危旧房屋改造项目分表!$O$6:$O$353="维修加固")*(危旧房屋改造项目分表!$V$6:$V$353&gt;=90%)*危旧房屋改造项目分表!$L$6:$L$353),"")</f>
        <v>0</v>
      </c>
      <c r="M19" s="130">
        <f>IFERROR(SUMPRODUCT((危旧房屋改造项目分表!$AG$6:AH$353="是")*(危旧房屋改造项目分表!$AD$6:AD$353="是")*(危旧房屋改造项目分表!$O$6:$O$353="维修加固")*(危旧房屋改造项目分表!$V$6:$V$353&gt;=90%)*危旧房屋改造项目分表!$L$6:$L$353),"")</f>
        <v>0</v>
      </c>
      <c r="N19" s="130">
        <f>SUM($D$19:$M$19)</f>
        <v>0</v>
      </c>
      <c r="O19" s="149" t="str">
        <f>IF(ISERROR(N19/$N$22),"",N19/$N$22)</f>
        <v/>
      </c>
    </row>
    <row r="20" ht="14.85" customHeight="1" spans="1:15">
      <c r="A20" s="137"/>
      <c r="B20" s="140" t="s">
        <v>26</v>
      </c>
      <c r="C20" s="129" t="s">
        <v>17</v>
      </c>
      <c r="D20" s="141">
        <f>$D$11+$D$14+$D$17+$D$8</f>
        <v>0</v>
      </c>
      <c r="E20" s="141">
        <f>$E$11+$E$14+$E$17+$E$8</f>
        <v>0</v>
      </c>
      <c r="F20" s="141">
        <f>$F$11+$F$14+$F$17+$F$8</f>
        <v>0</v>
      </c>
      <c r="G20" s="141">
        <f>$G$11+$G$14+$G$17+$G$8</f>
        <v>0</v>
      </c>
      <c r="H20" s="141">
        <f>$H$11+$H$14+$H$17+$H$8</f>
        <v>0</v>
      </c>
      <c r="I20" s="141">
        <f>$I$11+$I$14+$I$17+$I$8</f>
        <v>0</v>
      </c>
      <c r="J20" s="141">
        <f>$J$11+$J$14+$J$17+$J$8</f>
        <v>0</v>
      </c>
      <c r="K20" s="141">
        <f>$K$11+$K$14+$K$17+$K$8</f>
        <v>0</v>
      </c>
      <c r="L20" s="141">
        <f>$L$11+$L$14+$L$17+$L$8</f>
        <v>0</v>
      </c>
      <c r="M20" s="141">
        <f>$M$11+$M$14+$M$17+$M$8</f>
        <v>0</v>
      </c>
      <c r="N20" s="130">
        <f>SUM($D$20:$M$20)</f>
        <v>0</v>
      </c>
      <c r="O20" s="149" t="str">
        <f>IF(ISERROR(N20/$N$4),"",N20/$N$4)</f>
        <v/>
      </c>
    </row>
    <row r="21" ht="14.85" customHeight="1" spans="1:15">
      <c r="A21" s="137"/>
      <c r="B21" s="140"/>
      <c r="C21" s="129" t="s">
        <v>18</v>
      </c>
      <c r="D21" s="141">
        <f t="shared" ref="D21:M21" si="0">D12+D15+D18+D9</f>
        <v>0</v>
      </c>
      <c r="E21" s="141">
        <f t="shared" si="0"/>
        <v>0</v>
      </c>
      <c r="F21" s="141">
        <f t="shared" si="0"/>
        <v>0</v>
      </c>
      <c r="G21" s="141">
        <f t="shared" si="0"/>
        <v>0</v>
      </c>
      <c r="H21" s="141">
        <f t="shared" si="0"/>
        <v>0</v>
      </c>
      <c r="I21" s="141">
        <f t="shared" si="0"/>
        <v>0</v>
      </c>
      <c r="J21" s="141">
        <f t="shared" si="0"/>
        <v>0</v>
      </c>
      <c r="K21" s="141">
        <f t="shared" si="0"/>
        <v>0</v>
      </c>
      <c r="L21" s="141">
        <f t="shared" si="0"/>
        <v>0</v>
      </c>
      <c r="M21" s="141">
        <f t="shared" si="0"/>
        <v>0</v>
      </c>
      <c r="N21" s="130">
        <f>SUM($D$21:$M$21)</f>
        <v>0</v>
      </c>
      <c r="O21" s="149" t="str">
        <f>IF(ISERROR(N21/$N$5),"",N21/$N$5)</f>
        <v/>
      </c>
    </row>
    <row r="22" ht="14.85" customHeight="1" spans="1:15">
      <c r="A22" s="142"/>
      <c r="B22" s="140"/>
      <c r="C22" s="129" t="s">
        <v>19</v>
      </c>
      <c r="D22" s="143">
        <f t="shared" ref="D22:M22" si="1">D13+D16+D19+D10</f>
        <v>0</v>
      </c>
      <c r="E22" s="143">
        <f t="shared" si="1"/>
        <v>0</v>
      </c>
      <c r="F22" s="143">
        <f t="shared" si="1"/>
        <v>0</v>
      </c>
      <c r="G22" s="143">
        <f t="shared" si="1"/>
        <v>0</v>
      </c>
      <c r="H22" s="143">
        <f t="shared" si="1"/>
        <v>0</v>
      </c>
      <c r="I22" s="143">
        <f t="shared" si="1"/>
        <v>0</v>
      </c>
      <c r="J22" s="143">
        <f t="shared" si="1"/>
        <v>0</v>
      </c>
      <c r="K22" s="143">
        <f t="shared" si="1"/>
        <v>0</v>
      </c>
      <c r="L22" s="143">
        <f t="shared" si="1"/>
        <v>0</v>
      </c>
      <c r="M22" s="143">
        <f t="shared" si="1"/>
        <v>0</v>
      </c>
      <c r="N22" s="130">
        <f>SUM($D$22:$M$22)</f>
        <v>0</v>
      </c>
      <c r="O22" s="149" t="str">
        <f>IF(ISERROR(N22/$N$6),"",N22/$N$6)</f>
        <v/>
      </c>
    </row>
    <row r="23" ht="14.85" customHeight="1" spans="1:15">
      <c r="A23" s="135" t="s">
        <v>27</v>
      </c>
      <c r="B23" s="140" t="s">
        <v>22</v>
      </c>
      <c r="C23" s="129" t="s">
        <v>17</v>
      </c>
      <c r="D23" s="130">
        <f>IFERROR(SUMPRODUCT((危旧房屋改造项目分表!$B$6:$B$353=$D$3)*(危旧房屋改造项目分表!$AD$6:AD$353="是")*(危旧房屋改造项目分表!AG$6:$AG$353="否")*(危旧房屋改造项目分表!$O$6:$O$353="原址重建")*(危旧房屋改造项目分表!$V$6:$V$353&lt;=10%)*危旧房屋改造项目分表!$AF$6:$AF$353),"")</f>
        <v>0</v>
      </c>
      <c r="E23" s="130">
        <f>IFERROR(SUMPRODUCT((危旧房屋改造项目分表!$B$6:$B$353=$E$3)*(危旧房屋改造项目分表!$AD$6:AD$353="是")*(危旧房屋改造项目分表!AG$6:$AG$353="否")*(危旧房屋改造项目分表!$O$6:$O$353="原址重建")*(危旧房屋改造项目分表!$V$6:$V$353&lt;=10%)*危旧房屋改造项目分表!$AF$6:$AF$353),"")</f>
        <v>0</v>
      </c>
      <c r="F23" s="130">
        <f>IFERROR(SUMPRODUCT((危旧房屋改造项目分表!$B$6:$B$353=$F$3)*(危旧房屋改造项目分表!$AD$6:AD$353="是")*(危旧房屋改造项目分表!AG$6:$AG$353="否")*(危旧房屋改造项目分表!$O$6:$O$353="原址重建")*(危旧房屋改造项目分表!$V$6:$V$353&lt;=10%)*危旧房屋改造项目分表!$AF$6:$AF$353),"")</f>
        <v>0</v>
      </c>
      <c r="G23" s="130">
        <f>IFERROR(SUMPRODUCT((危旧房屋改造项目分表!$B$6:$B$353=$G$3)*(危旧房屋改造项目分表!$AD$6:AD$353="是")*(危旧房屋改造项目分表!AG$6:$AG$353="否")*(危旧房屋改造项目分表!$O$6:$O$353="原址重建")*(危旧房屋改造项目分表!$V$6:$V$353&lt;=10%)*危旧房屋改造项目分表!$AF$6:$AF$353),"")</f>
        <v>0</v>
      </c>
      <c r="H23" s="130">
        <f>IFERROR(SUMPRODUCT((危旧房屋改造项目分表!$B$6:$B$353=$H$3)*(危旧房屋改造项目分表!$AD$6:AD$353="是")*(危旧房屋改造项目分表!AG$6:$AG$353="否")*(危旧房屋改造项目分表!$O$6:$O$353="原址重建")*(危旧房屋改造项目分表!$V$6:$V$353&lt;=10%)*危旧房屋改造项目分表!$AF$6:$AF$353),"")</f>
        <v>0</v>
      </c>
      <c r="I23" s="130">
        <f>IFERROR(SUMPRODUCT((危旧房屋改造项目分表!$B$6:$B$353=$I$3)*(危旧房屋改造项目分表!$AD$6:AD$353="是")*(危旧房屋改造项目分表!AG$6:$AG$353="否")*(危旧房屋改造项目分表!$O$6:$O$353="原址重建")*(危旧房屋改造项目分表!$V$6:$V$353&lt;=10%)*危旧房屋改造项目分表!$AF$6:$AF$353),"")</f>
        <v>0</v>
      </c>
      <c r="J23" s="130">
        <f>IFERROR(SUMPRODUCT((危旧房屋改造项目分表!$B$6:$B$353=$J$3)*(危旧房屋改造项目分表!$AD$6:AD$353="是")*(危旧房屋改造项目分表!AG$6:$AG$353="否")*(危旧房屋改造项目分表!$O$6:$O$353="原址重建")*(危旧房屋改造项目分表!$V$6:$V$353&lt;=10%)*危旧房屋改造项目分表!$AF$6:$AF$353),"")</f>
        <v>0</v>
      </c>
      <c r="K23" s="130">
        <f>IFERROR(SUMPRODUCT((危旧房屋改造项目分表!$B$6:$B$353=$K$3)*(危旧房屋改造项目分表!$AD$6:AD$353="是")*(危旧房屋改造项目分表!AG$6:$AG$353="否")*(危旧房屋改造项目分表!$O$6:$O$353="原址重建")*(危旧房屋改造项目分表!$V$6:$V$353&lt;=10%)*危旧房屋改造项目分表!$AF$6:$AF$353),"")</f>
        <v>0</v>
      </c>
      <c r="L23" s="130">
        <f>IFERROR(SUMPRODUCT((危旧房屋改造项目分表!$B$6:$B$353=$L$3)*(危旧房屋改造项目分表!$AD$6:AD$353="是")*(危旧房屋改造项目分表!AG$6:$AG$353="否")*(危旧房屋改造项目分表!$O$6:$O$353="原址重建")*(危旧房屋改造项目分表!$V$6:$V$353&lt;=10%)*危旧房屋改造项目分表!$AF$6:$AF$353),"")</f>
        <v>0</v>
      </c>
      <c r="M23" s="130">
        <f>IFERROR(SUMPRODUCT((危旧房屋改造项目分表!$AG$6:AH$353="是")*(危旧房屋改造项目分表!$AD$6:AD$353="是")*(危旧房屋改造项目分表!$O$6:$O$353="原址重建")*(危旧房屋改造项目分表!$V$6:$V$353&lt;=10%)*危旧房屋改造项目分表!$AF$6:$AF$353),"")</f>
        <v>0</v>
      </c>
      <c r="N23" s="130">
        <f>SUM($D$23:$M$23)</f>
        <v>0</v>
      </c>
      <c r="O23" s="149" t="str">
        <f>IF(ISERROR(N23/$N$35),"",N23/$N$35)</f>
        <v/>
      </c>
    </row>
    <row r="24" ht="14.85" customHeight="1" spans="1:15">
      <c r="A24" s="137"/>
      <c r="B24" s="140"/>
      <c r="C24" s="129" t="s">
        <v>18</v>
      </c>
      <c r="D24" s="130">
        <f>IFERROR(SUMPRODUCT((危旧房屋改造项目分表!$B$6:$B$353=$D$3)*(危旧房屋改造项目分表!$AD$6:AD$353="是")*(危旧房屋改造项目分表!AG$6:$AG$353="否")*(危旧房屋改造项目分表!$O$6:$O$353="原址重建")*(危旧房屋改造项目分表!$V$6:$V$353&lt;=10%)*危旧房屋改造项目分表!$K$6:$K$353),"")</f>
        <v>0</v>
      </c>
      <c r="E24" s="130">
        <f>IFERROR(SUMPRODUCT((危旧房屋改造项目分表!$B$6:$B$353=$E$3)*(危旧房屋改造项目分表!$AD$6:AD$353="是")*(危旧房屋改造项目分表!AG$6:$AG$353="否")*(危旧房屋改造项目分表!$O$6:$O$353="原址重建")*(危旧房屋改造项目分表!$V$6:$V$353&lt;=10%)*危旧房屋改造项目分表!$K$6:$K$353),"")</f>
        <v>0</v>
      </c>
      <c r="F24" s="130">
        <f>IFERROR(SUMPRODUCT((危旧房屋改造项目分表!$B$6:$B$353=$F$3)*(危旧房屋改造项目分表!$AD$6:AD$353="是")*(危旧房屋改造项目分表!AG$6:$AG$353="否")*(危旧房屋改造项目分表!$O$6:$O$353="原址重建")*(危旧房屋改造项目分表!$V$6:$V$353&lt;=10%)*危旧房屋改造项目分表!$K$6:$K$353),"")</f>
        <v>0</v>
      </c>
      <c r="G24" s="130">
        <f>IFERROR(SUMPRODUCT((危旧房屋改造项目分表!$B$6:$B$353=$G$3)*(危旧房屋改造项目分表!$AD$6:AD$353="是")*(危旧房屋改造项目分表!AG$6:$AG$353="否")*(危旧房屋改造项目分表!$O$6:$O$353="原址重建")*(危旧房屋改造项目分表!$V$6:$V$353&lt;=10%)*危旧房屋改造项目分表!$K$6:$K$353),"")</f>
        <v>0</v>
      </c>
      <c r="H24" s="130">
        <f>IFERROR(SUMPRODUCT((危旧房屋改造项目分表!$B$6:$B$353=$H$3)*(危旧房屋改造项目分表!$AD$6:AD$353="是")*(危旧房屋改造项目分表!AG$6:$AG$353="否")*(危旧房屋改造项目分表!$O$6:$O$353="原址重建")*(危旧房屋改造项目分表!$V$6:$V$353&lt;=10%)*危旧房屋改造项目分表!$K$6:$K$353),"")</f>
        <v>0</v>
      </c>
      <c r="I24" s="130">
        <f>IFERROR(SUMPRODUCT((危旧房屋改造项目分表!$B$6:$B$353=$I$3)*(危旧房屋改造项目分表!$AD$6:AD$353="是")*(危旧房屋改造项目分表!AG$6:$AG$353="否")*(危旧房屋改造项目分表!$O$6:$O$353="原址重建")*(危旧房屋改造项目分表!$V$6:$V$353&lt;=10%)*危旧房屋改造项目分表!$K$6:$K$353),"")</f>
        <v>0</v>
      </c>
      <c r="J24" s="130">
        <f>IFERROR(SUMPRODUCT((危旧房屋改造项目分表!$B$6:$B$353=$J$3)*(危旧房屋改造项目分表!$AD$6:AD$353="是")*(危旧房屋改造项目分表!AG$6:$AG$353="否")*(危旧房屋改造项目分表!$O$6:$O$353="原址重建")*(危旧房屋改造项目分表!$V$6:$V$353&lt;=10%)*危旧房屋改造项目分表!$K$6:$K$353),"")</f>
        <v>0</v>
      </c>
      <c r="K24" s="130">
        <f>IFERROR(SUMPRODUCT((危旧房屋改造项目分表!$B$6:$B$353=$K$3)*(危旧房屋改造项目分表!$AD$6:AD$353="是")*(危旧房屋改造项目分表!AG$6:$AG$353="否")*(危旧房屋改造项目分表!$O$6:$O$353="原址重建")*(危旧房屋改造项目分表!$V$6:$V$353&lt;=10%)*危旧房屋改造项目分表!$K$6:$K$353),"")</f>
        <v>0</v>
      </c>
      <c r="L24" s="130">
        <f>IFERROR(SUMPRODUCT((危旧房屋改造项目分表!$B$6:$B$353=$L$3)*(危旧房屋改造项目分表!$AD$6:AD$353="是")*(危旧房屋改造项目分表!AG$6:$AG$353="否")*(危旧房屋改造项目分表!$O$6:$O$353="原址重建")*(危旧房屋改造项目分表!$V$6:$V$353&lt;=10%)*危旧房屋改造项目分表!$K$6:$K$353),"")</f>
        <v>0</v>
      </c>
      <c r="M24" s="130">
        <f>IFERROR(SUMPRODUCT((危旧房屋改造项目分表!$AG$6:AH$353="是")*(危旧房屋改造项目分表!$AD$6:AD$353="是")*(危旧房屋改造项目分表!$O$6:$O$353="原址重建")*(危旧房屋改造项目分表!$V$6:$V$353&lt;=10%)*危旧房屋改造项目分表!$K$6:$K$353),"")</f>
        <v>0</v>
      </c>
      <c r="N24" s="130">
        <f>SUM($D$24:$M$24)</f>
        <v>0</v>
      </c>
      <c r="O24" s="149" t="str">
        <f>IF(ISERROR(N24/$N$36),"",N24/$N$36)</f>
        <v/>
      </c>
    </row>
    <row r="25" ht="14.85" customHeight="1" spans="1:15">
      <c r="A25" s="137"/>
      <c r="B25" s="140"/>
      <c r="C25" s="129" t="s">
        <v>19</v>
      </c>
      <c r="D25" s="130">
        <f>IFERROR(SUMPRODUCT((危旧房屋改造项目分表!$B$6:$B$353=$D$3)*(危旧房屋改造项目分表!$AD$6:AD$353="是")*(危旧房屋改造项目分表!AG$6:$AG$353="否")*(危旧房屋改造项目分表!$O$6:$O$353="原址重建")*(危旧房屋改造项目分表!$V$6:$V$353&lt;=10%)*危旧房屋改造项目分表!$L$6:$L$353),"")</f>
        <v>0</v>
      </c>
      <c r="E25" s="130">
        <f>IFERROR(SUMPRODUCT((危旧房屋改造项目分表!$B$6:$B$353=$E$3)*(危旧房屋改造项目分表!$AD$6:AD$353="是")*(危旧房屋改造项目分表!AG$6:$AG$353="否")*(危旧房屋改造项目分表!$O$6:$O$353="原址重建")*(危旧房屋改造项目分表!$V$6:$V$353&lt;=10%)*危旧房屋改造项目分表!$L$6:$L$353),"")</f>
        <v>0</v>
      </c>
      <c r="F25" s="130">
        <f>IFERROR(SUMPRODUCT((危旧房屋改造项目分表!$B$6:$B$353=$F$3)*(危旧房屋改造项目分表!$AD$6:AD$353="是")*(危旧房屋改造项目分表!AG$6:$AG$353="否")*(危旧房屋改造项目分表!$O$6:$O$353="原址重建")*(危旧房屋改造项目分表!$V$6:$V$353&lt;=10%)*危旧房屋改造项目分表!$L$6:$L$353),"")</f>
        <v>0</v>
      </c>
      <c r="G25" s="130">
        <f>IFERROR(SUMPRODUCT((危旧房屋改造项目分表!$B$6:$B$353=$G$3)*(危旧房屋改造项目分表!$AD$6:AD$353="是")*(危旧房屋改造项目分表!AG$6:$AG$353="否")*(危旧房屋改造项目分表!$O$6:$O$353="原址重建")*(危旧房屋改造项目分表!$V$6:$V$353&lt;=10%)*危旧房屋改造项目分表!$L$6:$L$353),"")</f>
        <v>0</v>
      </c>
      <c r="H25" s="130">
        <f>IFERROR(SUMPRODUCT((危旧房屋改造项目分表!$B$6:$B$353=$H$3)*(危旧房屋改造项目分表!$AD$6:AD$353="是")*(危旧房屋改造项目分表!AG$6:$AG$353="否")*(危旧房屋改造项目分表!$O$6:$O$353="原址重建")*(危旧房屋改造项目分表!$V$6:$V$353&lt;=10%)*危旧房屋改造项目分表!$L$6:$L$353),"")</f>
        <v>0</v>
      </c>
      <c r="I25" s="130">
        <f>IFERROR(SUMPRODUCT((危旧房屋改造项目分表!$B$6:$B$353=$I$3)*(危旧房屋改造项目分表!$AD$6:AD$353="是")*(危旧房屋改造项目分表!AG$6:$AG$353="否")*(危旧房屋改造项目分表!$O$6:$O$353="原址重建")*(危旧房屋改造项目分表!$V$6:$V$353&lt;=10%)*危旧房屋改造项目分表!$L$6:$L$353),"")</f>
        <v>0</v>
      </c>
      <c r="J25" s="130">
        <f>IFERROR(SUMPRODUCT((危旧房屋改造项目分表!$B$6:$B$353=$J$3)*(危旧房屋改造项目分表!$AD$6:AD$353="是")*(危旧房屋改造项目分表!AG$6:$AG$353="否")*(危旧房屋改造项目分表!$O$6:$O$353="原址重建")*(危旧房屋改造项目分表!$V$6:$V$353&lt;=10%)*危旧房屋改造项目分表!$L$6:$L$353),"")</f>
        <v>0</v>
      </c>
      <c r="K25" s="130">
        <f>IFERROR(SUMPRODUCT((危旧房屋改造项目分表!$B$6:$B$353=$K$3)*(危旧房屋改造项目分表!$AD$6:AD$353="是")*(危旧房屋改造项目分表!AG$6:$AG$353="否")*(危旧房屋改造项目分表!$O$6:$O$353="原址重建")*(危旧房屋改造项目分表!$V$6:$V$353&lt;=10%)*危旧房屋改造项目分表!$L$6:$L$353),"")</f>
        <v>0</v>
      </c>
      <c r="L25" s="130">
        <f>IFERROR(SUMPRODUCT((危旧房屋改造项目分表!$B$6:$B$353=$L$3)*(危旧房屋改造项目分表!$AD$6:AD$353="是")*(危旧房屋改造项目分表!AG$6:$AG$353="否")*(危旧房屋改造项目分表!$O$6:$O$353="原址重建")*(危旧房屋改造项目分表!$V$6:$V$353&lt;=10%)*危旧房屋改造项目分表!$L$6:$L$353),"")</f>
        <v>0</v>
      </c>
      <c r="M25" s="130">
        <f>IFERROR(SUMPRODUCT((危旧房屋改造项目分表!$AG$6:AH$353="是")*(危旧房屋改造项目分表!$AD$6:AD$353="是")*(危旧房屋改造项目分表!$O$6:$O$353="原址重建")*(危旧房屋改造项目分表!$V$6:$V$353&lt;=10%)*危旧房屋改造项目分表!$L$6:$L$353),"")</f>
        <v>0</v>
      </c>
      <c r="N25" s="130">
        <f>SUM($D$25:$M$25)</f>
        <v>0</v>
      </c>
      <c r="O25" s="149" t="str">
        <f>IF(ISERROR(N25/$N$37),"",N25/$N$37)</f>
        <v/>
      </c>
    </row>
    <row r="26" ht="14.85" customHeight="1" spans="1:15">
      <c r="A26" s="137"/>
      <c r="B26" s="140" t="s">
        <v>23</v>
      </c>
      <c r="C26" s="129" t="s">
        <v>17</v>
      </c>
      <c r="D26" s="130">
        <f>IFERROR(SUMPRODUCT((危旧房屋改造项目分表!$B$6:$B$353=$D$3)*(危旧房屋改造项目分表!$AD$6:AD$353="是")*(危旧房屋改造项目分表!AG$6:$AG$353="否")*(危旧房屋改造项目分表!$O$6:$O$353="原址重建")*(危旧房屋改造项目分表!$V$6:$V$353&gt;=11%)*(危旧房屋改造项目分表!$V$6:$V$353&lt;=30%)*危旧房屋改造项目分表!$AF$6:$AF$353),"")</f>
        <v>0</v>
      </c>
      <c r="E26" s="130">
        <f>IFERROR(SUMPRODUCT((危旧房屋改造项目分表!$B$6:$B$353=$E$3)*(危旧房屋改造项目分表!$AD$6:AD$353="是")*(危旧房屋改造项目分表!AG$6:$AG$353="否")*(危旧房屋改造项目分表!$O$6:$O$353="原址重建")*(危旧房屋改造项目分表!$V$6:$V$353&gt;=11%)*(危旧房屋改造项目分表!$V$6:$V$353&lt;=30%)*危旧房屋改造项目分表!$AF$6:$AF$353),"")</f>
        <v>0</v>
      </c>
      <c r="F26" s="130">
        <f>IFERROR(SUMPRODUCT((危旧房屋改造项目分表!$B$6:$B$353=$F$3)*(危旧房屋改造项目分表!$AD$6:AD$353="是")*(危旧房屋改造项目分表!AG$6:$AG$353="否")*(危旧房屋改造项目分表!$O$6:$O$353="原址重建")*(危旧房屋改造项目分表!$V$6:$V$353&gt;=11%)*(危旧房屋改造项目分表!$V$6:$V$353&lt;=30%)*危旧房屋改造项目分表!$AF$6:$AF$353),"")</f>
        <v>0</v>
      </c>
      <c r="G26" s="130">
        <f>IFERROR(SUMPRODUCT((危旧房屋改造项目分表!$B$6:$B$353=$G$3)*(危旧房屋改造项目分表!$AD$6:AD$353="是")*(危旧房屋改造项目分表!AG$6:$AG$353="否")*(危旧房屋改造项目分表!$O$6:$O$353="原址重建")*(危旧房屋改造项目分表!$V$6:$V$353&gt;=11%)*(危旧房屋改造项目分表!$V$6:$V$353&lt;=30%)*危旧房屋改造项目分表!$AF$6:$AF$353),"")</f>
        <v>0</v>
      </c>
      <c r="H26" s="130">
        <f>IFERROR(SUMPRODUCT((危旧房屋改造项目分表!$B$6:$B$353=$H$3)*(危旧房屋改造项目分表!$AD$6:AD$353="是")*(危旧房屋改造项目分表!AG$6:$AG$353="否")*(危旧房屋改造项目分表!$O$6:$O$353="原址重建")*(危旧房屋改造项目分表!$V$6:$V$353&gt;=11%)*(危旧房屋改造项目分表!$V$6:$V$353&lt;=30%)*危旧房屋改造项目分表!$AF$6:$AF$353),"")</f>
        <v>0</v>
      </c>
      <c r="I26" s="130">
        <f>IFERROR(SUMPRODUCT((危旧房屋改造项目分表!$B$6:$B$353=$I$3)*(危旧房屋改造项目分表!$AD$6:AD$353="是")*(危旧房屋改造项目分表!AG$6:$AG$353="否")*(危旧房屋改造项目分表!$O$6:$O$353="原址重建")*(危旧房屋改造项目分表!$V$6:$V$353&gt;=11%)*(危旧房屋改造项目分表!$V$6:$V$353&lt;=30%)*危旧房屋改造项目分表!$AF$6:$AF$353),"")</f>
        <v>0</v>
      </c>
      <c r="J26" s="130">
        <f>IFERROR(SUMPRODUCT((危旧房屋改造项目分表!$B$6:$B$353=$J$3)*(危旧房屋改造项目分表!$AD$6:AD$353="是")*(危旧房屋改造项目分表!AG$6:$AG$353="否")*(危旧房屋改造项目分表!$O$6:$O$353="原址重建")*(危旧房屋改造项目分表!$V$6:$V$353&gt;=11%)*(危旧房屋改造项目分表!$V$6:$V$353&lt;=30%)*危旧房屋改造项目分表!$AF$6:$AF$353),"")</f>
        <v>0</v>
      </c>
      <c r="K26" s="130">
        <f>IFERROR(SUMPRODUCT((危旧房屋改造项目分表!$B$6:$B$353=$K$3)*(危旧房屋改造项目分表!$AD$6:AD$353="是")*(危旧房屋改造项目分表!AG$6:$AG$353="否")*(危旧房屋改造项目分表!$O$6:$O$353="原址重建")*(危旧房屋改造项目分表!$V$6:$V$353&gt;=11%)*(危旧房屋改造项目分表!$V$6:$V$353&lt;=30%)*危旧房屋改造项目分表!$AF$6:$AF$353),"")</f>
        <v>0</v>
      </c>
      <c r="L26" s="130">
        <f>IFERROR(SUMPRODUCT((危旧房屋改造项目分表!$B$6:$B$353=$L$3)*(危旧房屋改造项目分表!$AD$6:AD$353="是")*(危旧房屋改造项目分表!AG$6:$AG$353="否")*(危旧房屋改造项目分表!$O$6:$O$353="原址重建")*(危旧房屋改造项目分表!$V$6:$V$353&gt;=11%)*(危旧房屋改造项目分表!$V$6:$V$353&lt;=30%)*危旧房屋改造项目分表!$AF$6:$AF$353),"")</f>
        <v>0</v>
      </c>
      <c r="M26" s="130">
        <f>IFERROR(SUMPRODUCT((危旧房屋改造项目分表!$AG$6:AH$353="是")*(危旧房屋改造项目分表!$AD$6:AD$353="是")*(危旧房屋改造项目分表!$O$6:$O$353="原址重建")*(危旧房屋改造项目分表!$V$6:$V$353&gt;=11%)*(危旧房屋改造项目分表!$V$6:$V$353&lt;=30%)*危旧房屋改造项目分表!$AF$6:$AF$353),"")</f>
        <v>0</v>
      </c>
      <c r="N26" s="130">
        <f>SUM($D$26:$M$26)</f>
        <v>0</v>
      </c>
      <c r="O26" s="149" t="str">
        <f>IF(ISERROR(N26/$N$35),"",N26/$N$35)</f>
        <v/>
      </c>
    </row>
    <row r="27" ht="14.85" customHeight="1" spans="1:15">
      <c r="A27" s="137"/>
      <c r="B27" s="140"/>
      <c r="C27" s="129" t="s">
        <v>18</v>
      </c>
      <c r="D27" s="130">
        <f>IFERROR(SUMPRODUCT((危旧房屋改造项目分表!$B$6:$B$353=$D$3)*(危旧房屋改造项目分表!$AD$6:AD$353="是")*(危旧房屋改造项目分表!AG$6:$AG$353="否")*(危旧房屋改造项目分表!$O$6:$O$353="原址重建")*(危旧房屋改造项目分表!$V$6:$V$353&gt;=11%)*(危旧房屋改造项目分表!$V$6:$V$353&lt;=30%)*危旧房屋改造项目分表!$K$6:$K$353),"")</f>
        <v>0</v>
      </c>
      <c r="E27" s="130">
        <f>IFERROR(SUMPRODUCT((危旧房屋改造项目分表!$B$6:$B$353=$E$3)*(危旧房屋改造项目分表!$AD$6:AD$353="是")*(危旧房屋改造项目分表!AG$6:$AG$353="否")*(危旧房屋改造项目分表!$O$6:$O$353="原址重建")*(危旧房屋改造项目分表!$V$6:$V$353&gt;=11%)*(危旧房屋改造项目分表!$V$6:$V$353&lt;=30%)*危旧房屋改造项目分表!$K$6:$K$353),"")</f>
        <v>0</v>
      </c>
      <c r="F27" s="130">
        <f>IFERROR(SUMPRODUCT((危旧房屋改造项目分表!$B$6:$B$353=$F$3)*(危旧房屋改造项目分表!$AD$6:AD$353="是")*(危旧房屋改造项目分表!AG$6:$AG$353="否")*(危旧房屋改造项目分表!$O$6:$O$353="原址重建")*(危旧房屋改造项目分表!$V$6:$V$353&gt;=11%)*(危旧房屋改造项目分表!$V$6:$V$353&lt;=30%)*危旧房屋改造项目分表!$K$6:$K$353),"")</f>
        <v>0</v>
      </c>
      <c r="G27" s="130">
        <f>IFERROR(SUMPRODUCT((危旧房屋改造项目分表!$B$6:$B$353=$G$3)*(危旧房屋改造项目分表!$AD$6:AD$353="是")*(危旧房屋改造项目分表!AG$6:$AG$353="否")*(危旧房屋改造项目分表!$O$6:$O$353="原址重建")*(危旧房屋改造项目分表!$V$6:$V$353&gt;=11%)*(危旧房屋改造项目分表!$V$6:$V$353&lt;=30%)*危旧房屋改造项目分表!$K$6:$K$353),"")</f>
        <v>0</v>
      </c>
      <c r="H27" s="130">
        <f>IFERROR(SUMPRODUCT((危旧房屋改造项目分表!$B$6:$B$353=$H$3)*(危旧房屋改造项目分表!$AD$6:AD$353="是")*(危旧房屋改造项目分表!AG$6:$AG$353="否")*(危旧房屋改造项目分表!$O$6:$O$353="原址重建")*(危旧房屋改造项目分表!$V$6:$V$353&gt;=11%)*(危旧房屋改造项目分表!$V$6:$V$353&lt;=30%)*危旧房屋改造项目分表!$K$6:$K$353),"")</f>
        <v>0</v>
      </c>
      <c r="I27" s="130">
        <f>IFERROR(SUMPRODUCT((危旧房屋改造项目分表!$B$6:$B$353=$I$3)*(危旧房屋改造项目分表!$AD$6:AD$353="是")*(危旧房屋改造项目分表!AG$6:$AG$353="否")*(危旧房屋改造项目分表!$O$6:$O$353="原址重建")*(危旧房屋改造项目分表!$V$6:$V$353&gt;=11%)*(危旧房屋改造项目分表!$V$6:$V$353&lt;=30%)*危旧房屋改造项目分表!$K$6:$K$353),"")</f>
        <v>0</v>
      </c>
      <c r="J27" s="130">
        <f>IFERROR(SUMPRODUCT((危旧房屋改造项目分表!$B$6:$B$353=$J$3)*(危旧房屋改造项目分表!$AD$6:AD$353="是")*(危旧房屋改造项目分表!AG$6:$AG$353="否")*(危旧房屋改造项目分表!$O$6:$O$353="原址重建")*(危旧房屋改造项目分表!$V$6:$V$353&gt;=11%)*(危旧房屋改造项目分表!$V$6:$V$353&lt;=30%)*危旧房屋改造项目分表!$K$6:$K$353),"")</f>
        <v>0</v>
      </c>
      <c r="K27" s="130">
        <f>IFERROR(SUMPRODUCT((危旧房屋改造项目分表!$B$6:$B$353=$K$3)*(危旧房屋改造项目分表!$AD$6:AD$353="是")*(危旧房屋改造项目分表!AG$6:$AG$353="否")*(危旧房屋改造项目分表!$O$6:$O$353="原址重建")*(危旧房屋改造项目分表!$V$6:$V$353&gt;=11%)*(危旧房屋改造项目分表!$V$6:$V$353&lt;=30%)*危旧房屋改造项目分表!$K$6:$K$353),"")</f>
        <v>0</v>
      </c>
      <c r="L27" s="130">
        <f>IFERROR(SUMPRODUCT((危旧房屋改造项目分表!$B$6:$B$353=$L$3)*(危旧房屋改造项目分表!$AD$6:AD$353="是")*(危旧房屋改造项目分表!AG$6:$AG$353="否")*(危旧房屋改造项目分表!$O$6:$O$353="原址重建")*(危旧房屋改造项目分表!$V$6:$V$353&gt;=11%)*(危旧房屋改造项目分表!$V$6:$V$353&lt;=30%)*危旧房屋改造项目分表!$K$6:$K$353),"")</f>
        <v>0</v>
      </c>
      <c r="M27" s="130">
        <f>IFERROR(SUMPRODUCT((危旧房屋改造项目分表!$AG$6:AH$353="是")*(危旧房屋改造项目分表!$AD$6:AD$353="是")*(危旧房屋改造项目分表!$O$6:$O$353="原址重建")*(危旧房屋改造项目分表!$V$6:$V$353&gt;=11%)*(危旧房屋改造项目分表!$V$6:$V$353&lt;=30%)*危旧房屋改造项目分表!$K$6:$K$353),"")</f>
        <v>0</v>
      </c>
      <c r="N27" s="130">
        <f>SUM($D$27:$M$27)</f>
        <v>0</v>
      </c>
      <c r="O27" s="149" t="str">
        <f>IF(ISERROR(N27/$N$36),"",N27/$N$36)</f>
        <v/>
      </c>
    </row>
    <row r="28" ht="14.85" customHeight="1" spans="1:15">
      <c r="A28" s="137"/>
      <c r="B28" s="140"/>
      <c r="C28" s="129" t="s">
        <v>19</v>
      </c>
      <c r="D28" s="130">
        <f>IFERROR(SUMPRODUCT((危旧房屋改造项目分表!$B$6:$B$353=$D$3)*(危旧房屋改造项目分表!$AD$6:AD$353="是")*(危旧房屋改造项目分表!AG$6:$AG$353="否")*(危旧房屋改造项目分表!$O$6:$O$353="原址重建")*(危旧房屋改造项目分表!$V$6:$V$353&gt;=11%)*(危旧房屋改造项目分表!$V$6:$V$353&lt;=30%)*危旧房屋改造项目分表!$L$6:$L$353),"")</f>
        <v>0</v>
      </c>
      <c r="E28" s="130">
        <f>IFERROR(SUMPRODUCT((危旧房屋改造项目分表!$B$6:$B$353=$E$3)*(危旧房屋改造项目分表!$AD$6:AD$353="是")*(危旧房屋改造项目分表!AG$6:$AG$353="否")*(危旧房屋改造项目分表!$O$6:$O$353="原址重建")*(危旧房屋改造项目分表!$V$6:$V$353&gt;=11%)*(危旧房屋改造项目分表!$V$6:$V$353&lt;=30%)*危旧房屋改造项目分表!$L$6:$L$353),"")</f>
        <v>0</v>
      </c>
      <c r="F28" s="130">
        <f>IFERROR(SUMPRODUCT((危旧房屋改造项目分表!$B$6:$B$353=$F$3)*(危旧房屋改造项目分表!$AD$6:AD$353="是")*(危旧房屋改造项目分表!AG$6:$AG$353="否")*(危旧房屋改造项目分表!$O$6:$O$353="原址重建")*(危旧房屋改造项目分表!$V$6:$V$353&gt;=11%)*(危旧房屋改造项目分表!$V$6:$V$353&lt;=30%)*危旧房屋改造项目分表!$L$6:$L$353),"")</f>
        <v>0</v>
      </c>
      <c r="G28" s="130">
        <f>IFERROR(SUMPRODUCT((危旧房屋改造项目分表!$B$6:$B$353=$G$3)*(危旧房屋改造项目分表!$AD$6:AD$353="是")*(危旧房屋改造项目分表!AG$6:$AG$353="否")*(危旧房屋改造项目分表!$O$6:$O$353="原址重建")*(危旧房屋改造项目分表!$V$6:$V$353&gt;=11%)*(危旧房屋改造项目分表!$V$6:$V$353&lt;=30%)*危旧房屋改造项目分表!$L$6:$L$353),"")</f>
        <v>0</v>
      </c>
      <c r="H28" s="130">
        <f>IFERROR(SUMPRODUCT((危旧房屋改造项目分表!$B$6:$B$353=$H$3)*(危旧房屋改造项目分表!$AD$6:AD$353="是")*(危旧房屋改造项目分表!AG$6:$AG$353="否")*(危旧房屋改造项目分表!$O$6:$O$353="原址重建")*(危旧房屋改造项目分表!$V$6:$V$353&gt;=11%)*(危旧房屋改造项目分表!$V$6:$V$353&lt;=30%)*危旧房屋改造项目分表!$L$6:$L$353),"")</f>
        <v>0</v>
      </c>
      <c r="I28" s="130">
        <f>IFERROR(SUMPRODUCT((危旧房屋改造项目分表!$B$6:$B$353=$I$3)*(危旧房屋改造项目分表!$AD$6:AD$353="是")*(危旧房屋改造项目分表!AG$6:$AG$353="否")*(危旧房屋改造项目分表!$O$6:$O$353="原址重建")*(危旧房屋改造项目分表!$V$6:$V$353&gt;=11%)*(危旧房屋改造项目分表!$V$6:$V$353&lt;=30%)*危旧房屋改造项目分表!$L$6:$L$353),"")</f>
        <v>0</v>
      </c>
      <c r="J28" s="130">
        <f>IFERROR(SUMPRODUCT((危旧房屋改造项目分表!$B$6:$B$353=$J$3)*(危旧房屋改造项目分表!$AD$6:AD$353="是")*(危旧房屋改造项目分表!AG$6:$AG$353="否")*(危旧房屋改造项目分表!$O$6:$O$353="原址重建")*(危旧房屋改造项目分表!$V$6:$V$353&gt;=11%)*(危旧房屋改造项目分表!$V$6:$V$353&lt;=30%)*危旧房屋改造项目分表!$L$6:$L$353),"")</f>
        <v>0</v>
      </c>
      <c r="K28" s="130">
        <f>IFERROR(SUMPRODUCT((危旧房屋改造项目分表!$B$6:$B$353=$K$3)*(危旧房屋改造项目分表!$AD$6:AD$353="是")*(危旧房屋改造项目分表!AG$6:$AG$353="否")*(危旧房屋改造项目分表!$O$6:$O$353="原址重建")*(危旧房屋改造项目分表!$V$6:$V$353&gt;=11%)*(危旧房屋改造项目分表!$V$6:$V$353&lt;=30%)*危旧房屋改造项目分表!$L$6:$L$353),"")</f>
        <v>0</v>
      </c>
      <c r="L28" s="130">
        <f>IFERROR(SUMPRODUCT((危旧房屋改造项目分表!$B$6:$B$353=$L$3)*(危旧房屋改造项目分表!$AD$6:AD$353="是")*(危旧房屋改造项目分表!AG$6:$AG$353="否")*(危旧房屋改造项目分表!$O$6:$O$353="原址重建")*(危旧房屋改造项目分表!$V$6:$V$353&gt;=11%)*(危旧房屋改造项目分表!$V$6:$V$353&lt;=30%)*危旧房屋改造项目分表!$L$6:$L$353),"")</f>
        <v>0</v>
      </c>
      <c r="M28" s="130">
        <f>IFERROR(SUMPRODUCT((危旧房屋改造项目分表!$AG$6:AH$353="是")*(危旧房屋改造项目分表!$AD$6:AD$353="是")*(危旧房屋改造项目分表!$O$6:$O$353="原址重建")*(危旧房屋改造项目分表!$V$6:$V$353&gt;=11%)*(危旧房屋改造项目分表!$V$6:$V$353&lt;=30%)*危旧房屋改造项目分表!$L$6:$L$353),"")</f>
        <v>0</v>
      </c>
      <c r="N28" s="130">
        <f>SUM($D$28:$M$28)</f>
        <v>0</v>
      </c>
      <c r="O28" s="149" t="str">
        <f>IF(ISERROR(N28/$N$37),"",N28/$N$37)</f>
        <v/>
      </c>
    </row>
    <row r="29" ht="14.85" customHeight="1" spans="1:15">
      <c r="A29" s="137"/>
      <c r="B29" s="140" t="s">
        <v>24</v>
      </c>
      <c r="C29" s="129" t="s">
        <v>17</v>
      </c>
      <c r="D29" s="130">
        <f>IFERROR(SUMPRODUCT((危旧房屋改造项目分表!$B$6:$B$353=$D$3)*(危旧房屋改造项目分表!$AD$6:AD$353="是")*(危旧房屋改造项目分表!AG$6:$AG$353="否")*(危旧房屋改造项目分表!$O$6:$O$353="原址重建")*(危旧房屋改造项目分表!$V$6:$V$353&gt;=31%)*(危旧房屋改造项目分表!$V$6:$V$353&lt;=89%)*危旧房屋改造项目分表!$AF$6:$AF$353),"")</f>
        <v>0</v>
      </c>
      <c r="E29" s="130">
        <f>IFERROR(SUMPRODUCT((危旧房屋改造项目分表!$B$6:$B$353=$E$3)*(危旧房屋改造项目分表!$AD$6:AD$353="是")*(危旧房屋改造项目分表!AG$6:$AG$353="否")*(危旧房屋改造项目分表!$O$6:$O$353="原址重建")*(危旧房屋改造项目分表!$V$6:$V$353&gt;=31%)*(危旧房屋改造项目分表!$V$6:$V$353&lt;=89%)*危旧房屋改造项目分表!$AF$6:$AF$353),"")</f>
        <v>0</v>
      </c>
      <c r="F29" s="130">
        <f>IFERROR(SUMPRODUCT((危旧房屋改造项目分表!$B$6:$B$353=$F$3)*(危旧房屋改造项目分表!$AD$6:AD$353="是")*(危旧房屋改造项目分表!AG$6:$AG$353="否")*(危旧房屋改造项目分表!$O$6:$O$353="原址重建")*(危旧房屋改造项目分表!$V$6:$V$353&gt;=31%)*(危旧房屋改造项目分表!$V$6:$V$353&lt;=89%)*危旧房屋改造项目分表!$AF$6:$AF$353),"")</f>
        <v>0</v>
      </c>
      <c r="G29" s="130">
        <f>IFERROR(SUMPRODUCT((危旧房屋改造项目分表!$B$6:$B$353=$G$3)*(危旧房屋改造项目分表!$AD$6:AD$353="是")*(危旧房屋改造项目分表!AG$6:$AG$353="否")*(危旧房屋改造项目分表!$O$6:$O$353="原址重建")*(危旧房屋改造项目分表!$V$6:$V$353&gt;=31%)*(危旧房屋改造项目分表!$V$6:$V$353&lt;=89%)*危旧房屋改造项目分表!$AF$6:$AF$353),"")</f>
        <v>0</v>
      </c>
      <c r="H29" s="130">
        <f>IFERROR(SUMPRODUCT((危旧房屋改造项目分表!$B$6:$B$353=$H$3)*(危旧房屋改造项目分表!$AD$6:AD$353="是")*(危旧房屋改造项目分表!AG$6:$AG$353="否")*(危旧房屋改造项目分表!$O$6:$O$353="原址重建")*(危旧房屋改造项目分表!$V$6:$V$353&gt;=31%)*(危旧房屋改造项目分表!$V$6:$V$353&lt;=89%)*危旧房屋改造项目分表!$AF$6:$AF$353),"")</f>
        <v>0</v>
      </c>
      <c r="I29" s="130">
        <f>IFERROR(SUMPRODUCT((危旧房屋改造项目分表!$B$6:$B$353=$I$3)*(危旧房屋改造项目分表!$AD$6:AD$353="是")*(危旧房屋改造项目分表!AG$6:$AG$353="否")*(危旧房屋改造项目分表!$O$6:$O$353="原址重建")*(危旧房屋改造项目分表!$V$6:$V$353&gt;=31%)*(危旧房屋改造项目分表!$V$6:$V$353&lt;=89%)*危旧房屋改造项目分表!$AF$6:$AF$353),"")</f>
        <v>0</v>
      </c>
      <c r="J29" s="130">
        <f>IFERROR(SUMPRODUCT((危旧房屋改造项目分表!$B$6:$B$353=$J$3)*(危旧房屋改造项目分表!$AD$6:AD$353="是")*(危旧房屋改造项目分表!AG$6:$AG$353="否")*(危旧房屋改造项目分表!$O$6:$O$353="原址重建")*(危旧房屋改造项目分表!$V$6:$V$353&gt;=31%)*(危旧房屋改造项目分表!$V$6:$V$353&lt;=89%)*危旧房屋改造项目分表!$AF$6:$AF$353),"")</f>
        <v>0</v>
      </c>
      <c r="K29" s="130">
        <f>IFERROR(SUMPRODUCT((危旧房屋改造项目分表!$B$6:$B$353=$K$3)*(危旧房屋改造项目分表!$AD$6:AD$353="是")*(危旧房屋改造项目分表!AG$6:$AG$353="否")*(危旧房屋改造项目分表!$O$6:$O$353="原址重建")*(危旧房屋改造项目分表!$V$6:$V$353&gt;=31%)*(危旧房屋改造项目分表!$V$6:$V$353&lt;=89%)*危旧房屋改造项目分表!$AF$6:$AF$353),"")</f>
        <v>0</v>
      </c>
      <c r="L29" s="130">
        <f>IFERROR(SUMPRODUCT((危旧房屋改造项目分表!$B$6:$B$353=$L$3)*(危旧房屋改造项目分表!$AD$6:AD$353="是")*(危旧房屋改造项目分表!AG$6:$AG$353="否")*(危旧房屋改造项目分表!$O$6:$O$353="原址重建")*(危旧房屋改造项目分表!$V$6:$V$353&gt;=31%)*(危旧房屋改造项目分表!$V$6:$V$353&lt;=89%)*危旧房屋改造项目分表!$AF$6:$AF$353),"")</f>
        <v>0</v>
      </c>
      <c r="M29" s="130">
        <f>IFERROR(SUMPRODUCT((危旧房屋改造项目分表!$AG$6:AH$353="是")*(危旧房屋改造项目分表!$AD$6:AD$353="是")*(危旧房屋改造项目分表!$O$6:$O$353="原址重建")*(危旧房屋改造项目分表!$V$6:$V$353&gt;=31%)*(危旧房屋改造项目分表!$V$6:$V$353&lt;=89%)*危旧房屋改造项目分表!$AF$6:$AF$353),"")</f>
        <v>0</v>
      </c>
      <c r="N29" s="130">
        <f>SUM($D$29:$M$29)</f>
        <v>0</v>
      </c>
      <c r="O29" s="149" t="str">
        <f>IF(ISERROR(N29/$N$35),"",N29/$N$35)</f>
        <v/>
      </c>
    </row>
    <row r="30" ht="14.85" customHeight="1" spans="1:15">
      <c r="A30" s="137"/>
      <c r="B30" s="140"/>
      <c r="C30" s="129" t="s">
        <v>18</v>
      </c>
      <c r="D30" s="130">
        <f>IFERROR(SUMPRODUCT((危旧房屋改造项目分表!$B$6:$B$353=$D$3)*(危旧房屋改造项目分表!$AD$6:AD$353="是")*(危旧房屋改造项目分表!AG$6:$AG$353="否")*(危旧房屋改造项目分表!$O$6:$O$353="原址重建")*(危旧房屋改造项目分表!$V$6:$V$353&gt;=31%)*(危旧房屋改造项目分表!$V$6:$V$353&lt;=89%)*危旧房屋改造项目分表!$K$6:$K$353),"")</f>
        <v>0</v>
      </c>
      <c r="E30" s="130">
        <f>IFERROR(SUMPRODUCT((危旧房屋改造项目分表!$B$6:$B$353=$E$3)*(危旧房屋改造项目分表!$AD$6:AD$353="是")*(危旧房屋改造项目分表!AG$6:$AG$353="否")*(危旧房屋改造项目分表!$O$6:$O$353="原址重建")*(危旧房屋改造项目分表!$V$6:$V$353&gt;=31%)*(危旧房屋改造项目分表!$V$6:$V$353&lt;=89%)*危旧房屋改造项目分表!$K$6:$K$353),"")</f>
        <v>0</v>
      </c>
      <c r="F30" s="130">
        <f>IFERROR(SUMPRODUCT((危旧房屋改造项目分表!$B$6:$B$353=$F$3)*(危旧房屋改造项目分表!$AD$6:AD$353="是")*(危旧房屋改造项目分表!AG$6:$AG$353="否")*(危旧房屋改造项目分表!$O$6:$O$353="原址重建")*(危旧房屋改造项目分表!$V$6:$V$353&gt;=31%)*(危旧房屋改造项目分表!$V$6:$V$353&lt;=89%)*危旧房屋改造项目分表!$K$6:$K$353),"")</f>
        <v>0</v>
      </c>
      <c r="G30" s="130">
        <f>IFERROR(SUMPRODUCT((危旧房屋改造项目分表!$B$6:$B$353=$G$3)*(危旧房屋改造项目分表!$AD$6:AD$353="是")*(危旧房屋改造项目分表!AG$6:$AG$353="否")*(危旧房屋改造项目分表!$O$6:$O$353="原址重建")*(危旧房屋改造项目分表!$V$6:$V$353&gt;=31%)*(危旧房屋改造项目分表!$V$6:$V$353&lt;=89%)*危旧房屋改造项目分表!$K$6:$K$353),"")</f>
        <v>0</v>
      </c>
      <c r="H30" s="130">
        <f>IFERROR(SUMPRODUCT((危旧房屋改造项目分表!$B$6:$B$353=$H$3)*(危旧房屋改造项目分表!$AD$6:AD$353="是")*(危旧房屋改造项目分表!AG$6:$AG$353="否")*(危旧房屋改造项目分表!$O$6:$O$353="原址重建")*(危旧房屋改造项目分表!$V$6:$V$353&gt;=31%)*(危旧房屋改造项目分表!$V$6:$V$353&lt;=89%)*危旧房屋改造项目分表!$K$6:$K$353),"")</f>
        <v>0</v>
      </c>
      <c r="I30" s="130">
        <f>IFERROR(SUMPRODUCT((危旧房屋改造项目分表!$B$6:$B$353=$I$3)*(危旧房屋改造项目分表!$AD$6:AD$353="是")*(危旧房屋改造项目分表!AG$6:$AG$353="否")*(危旧房屋改造项目分表!$O$6:$O$353="原址重建")*(危旧房屋改造项目分表!$V$6:$V$353&gt;=31%)*(危旧房屋改造项目分表!$V$6:$V$353&lt;=89%)*危旧房屋改造项目分表!$K$6:$K$353),"")</f>
        <v>0</v>
      </c>
      <c r="J30" s="130">
        <f>IFERROR(SUMPRODUCT((危旧房屋改造项目分表!$B$6:$B$353=$J$3)*(危旧房屋改造项目分表!$AD$6:AD$353="是")*(危旧房屋改造项目分表!AG$6:$AG$353="否")*(危旧房屋改造项目分表!$O$6:$O$353="原址重建")*(危旧房屋改造项目分表!$V$6:$V$353&gt;=31%)*(危旧房屋改造项目分表!$V$6:$V$353&lt;=89%)*危旧房屋改造项目分表!$K$6:$K$353),"")</f>
        <v>0</v>
      </c>
      <c r="K30" s="130">
        <f>IFERROR(SUMPRODUCT((危旧房屋改造项目分表!$B$6:$B$353=$K$3)*(危旧房屋改造项目分表!$AD$6:AD$353="是")*(危旧房屋改造项目分表!AG$6:$AG$353="否")*(危旧房屋改造项目分表!$O$6:$O$353="原址重建")*(危旧房屋改造项目分表!$V$6:$V$353&gt;=31%)*(危旧房屋改造项目分表!$V$6:$V$353&lt;=89%)*危旧房屋改造项目分表!$K$6:$K$353),"")</f>
        <v>0</v>
      </c>
      <c r="L30" s="130">
        <f>IFERROR(SUMPRODUCT((危旧房屋改造项目分表!$B$6:$B$353=$L$3)*(危旧房屋改造项目分表!$AD$6:AD$353="是")*(危旧房屋改造项目分表!AG$6:$AG$353="否")*(危旧房屋改造项目分表!$O$6:$O$353="原址重建")*(危旧房屋改造项目分表!$V$6:$V$353&gt;=31%)*(危旧房屋改造项目分表!$V$6:$V$353&lt;=89%)*危旧房屋改造项目分表!$K$6:$K$353),"")</f>
        <v>0</v>
      </c>
      <c r="M30" s="130">
        <f>IFERROR(SUMPRODUCT((危旧房屋改造项目分表!$AG$6:AH$353="是")*(危旧房屋改造项目分表!$AD$6:AD$353="是")*(危旧房屋改造项目分表!$O$6:$O$353="原址重建")*(危旧房屋改造项目分表!$V$6:$V$353&gt;=31%)*(危旧房屋改造项目分表!$V$6:$V$353&lt;=89%)*危旧房屋改造项目分表!$K$6:$K$353),"")</f>
        <v>0</v>
      </c>
      <c r="N30" s="130">
        <f>SUM($D$30:$M$30)</f>
        <v>0</v>
      </c>
      <c r="O30" s="149" t="str">
        <f>IF(ISERROR(N30/$N$36),"",N30/$N$36)</f>
        <v/>
      </c>
    </row>
    <row r="31" ht="14.85" customHeight="1" spans="1:15">
      <c r="A31" s="137"/>
      <c r="B31" s="140"/>
      <c r="C31" s="129" t="s">
        <v>19</v>
      </c>
      <c r="D31" s="130">
        <f>IFERROR(SUMPRODUCT((危旧房屋改造项目分表!$B$6:$B$353=$D$3)*(危旧房屋改造项目分表!$AD$6:AD$353="是")*(危旧房屋改造项目分表!AG$6:$AG$353="否")*(危旧房屋改造项目分表!$O$6:$O$353="原址重建")*(危旧房屋改造项目分表!$V$6:$V$353&gt;=31%)*(危旧房屋改造项目分表!$V$6:$V$353&lt;=89%)*危旧房屋改造项目分表!$L$6:$L$353),"")</f>
        <v>0</v>
      </c>
      <c r="E31" s="130">
        <f>IFERROR(SUMPRODUCT((危旧房屋改造项目分表!$B$6:$B$353=$E$3)*(危旧房屋改造项目分表!$AD$6:AD$353="是")*(危旧房屋改造项目分表!AG$6:$AG$353="否")*(危旧房屋改造项目分表!$O$6:$O$353="原址重建")*(危旧房屋改造项目分表!$V$6:$V$353&gt;=31%)*(危旧房屋改造项目分表!$V$6:$V$353&lt;=89%)*危旧房屋改造项目分表!$L$6:$L$353),"")</f>
        <v>0</v>
      </c>
      <c r="F31" s="130">
        <f>IFERROR(SUMPRODUCT((危旧房屋改造项目分表!$B$6:$B$353=$F$3)*(危旧房屋改造项目分表!$AD$6:AD$353="是")*(危旧房屋改造项目分表!AG$6:$AG$353="否")*(危旧房屋改造项目分表!$O$6:$O$353="原址重建")*(危旧房屋改造项目分表!$V$6:$V$353&gt;=31%)*(危旧房屋改造项目分表!$V$6:$V$353&lt;=89%)*危旧房屋改造项目分表!$L$6:$L$353),"")</f>
        <v>0</v>
      </c>
      <c r="G31" s="130">
        <f>IFERROR(SUMPRODUCT((危旧房屋改造项目分表!$B$6:$B$353=$G$3)*(危旧房屋改造项目分表!$AD$6:AD$353="是")*(危旧房屋改造项目分表!AG$6:$AG$353="否")*(危旧房屋改造项目分表!$O$6:$O$353="原址重建")*(危旧房屋改造项目分表!$V$6:$V$353&gt;=31%)*(危旧房屋改造项目分表!$V$6:$V$353&lt;=89%)*危旧房屋改造项目分表!$L$6:$L$353),"")</f>
        <v>0</v>
      </c>
      <c r="H31" s="130">
        <f>IFERROR(SUMPRODUCT((危旧房屋改造项目分表!$B$6:$B$353=$H$3)*(危旧房屋改造项目分表!$AD$6:AD$353="是")*(危旧房屋改造项目分表!AG$6:$AG$353="否")*(危旧房屋改造项目分表!$O$6:$O$353="原址重建")*(危旧房屋改造项目分表!$V$6:$V$353&gt;=31%)*(危旧房屋改造项目分表!$V$6:$V$353&lt;=89%)*危旧房屋改造项目分表!$L$6:$L$353),"")</f>
        <v>0</v>
      </c>
      <c r="I31" s="130">
        <f>IFERROR(SUMPRODUCT((危旧房屋改造项目分表!$B$6:$B$353=$I$3)*(危旧房屋改造项目分表!$AD$6:AD$353="是")*(危旧房屋改造项目分表!AG$6:$AG$353="否")*(危旧房屋改造项目分表!$O$6:$O$353="原址重建")*(危旧房屋改造项目分表!$V$6:$V$353&gt;=31%)*(危旧房屋改造项目分表!$V$6:$V$353&lt;=89%)*危旧房屋改造项目分表!$L$6:$L$353),"")</f>
        <v>0</v>
      </c>
      <c r="J31" s="130">
        <f>IFERROR(SUMPRODUCT((危旧房屋改造项目分表!$B$6:$B$353=$J$3)*(危旧房屋改造项目分表!$AD$6:AD$353="是")*(危旧房屋改造项目分表!AG$6:$AG$353="否")*(危旧房屋改造项目分表!$O$6:$O$353="原址重建")*(危旧房屋改造项目分表!$V$6:$V$353&gt;=31%)*(危旧房屋改造项目分表!$V$6:$V$353&lt;=89%)*危旧房屋改造项目分表!$L$6:$L$353),"")</f>
        <v>0</v>
      </c>
      <c r="K31" s="130">
        <f>IFERROR(SUMPRODUCT((危旧房屋改造项目分表!$B$6:$B$353=$K$3)*(危旧房屋改造项目分表!$AD$6:AD$353="是")*(危旧房屋改造项目分表!AG$6:$AG$353="否")*(危旧房屋改造项目分表!$O$6:$O$353="原址重建")*(危旧房屋改造项目分表!$V$6:$V$353&gt;=31%)*(危旧房屋改造项目分表!$V$6:$V$353&lt;=89%)*危旧房屋改造项目分表!$L$6:$L$353),"")</f>
        <v>0</v>
      </c>
      <c r="L31" s="130">
        <f>IFERROR(SUMPRODUCT((危旧房屋改造项目分表!$B$6:$B$353=$L$3)*(危旧房屋改造项目分表!$AD$6:AD$353="是")*(危旧房屋改造项目分表!AG$6:$AG$353="否")*(危旧房屋改造项目分表!$O$6:$O$353="原址重建")*(危旧房屋改造项目分表!$V$6:$V$353&gt;=31%)*(危旧房屋改造项目分表!$V$6:$V$353&lt;=89%)*危旧房屋改造项目分表!$L$6:$L$353),"")</f>
        <v>0</v>
      </c>
      <c r="M31" s="130">
        <f>IFERROR(SUMPRODUCT((危旧房屋改造项目分表!$AG$6:AH$353="是")*(危旧房屋改造项目分表!$AD$6:AD$353="是")*(危旧房屋改造项目分表!$O$6:$O$353="原址重建")*(危旧房屋改造项目分表!$V$6:$V$353&gt;=31%)*(危旧房屋改造项目分表!$V$6:$V$353&lt;=89%)*危旧房屋改造项目分表!$L$6:$L$353),"")</f>
        <v>0</v>
      </c>
      <c r="N31" s="130">
        <f>SUM($D$31:$M$31)</f>
        <v>0</v>
      </c>
      <c r="O31" s="149" t="str">
        <f>IF(ISERROR(N31/$N$37),"",N31/$N$37)</f>
        <v/>
      </c>
    </row>
    <row r="32" ht="15" customHeight="1" spans="1:15">
      <c r="A32" s="137"/>
      <c r="B32" s="140" t="s">
        <v>25</v>
      </c>
      <c r="C32" s="129" t="s">
        <v>17</v>
      </c>
      <c r="D32" s="130">
        <f>IFERROR(SUMPRODUCT((危旧房屋改造项目分表!$B$6:$B$353=$D$3)*(危旧房屋改造项目分表!AG$6:$AG$353="否")*(危旧房屋改造项目分表!$O$6:$O$353="原址重建")*(危旧房屋改造项目分表!$V$6:$V$353&gt;=90%)*危旧房屋改造项目分表!$AF$6:$AF$353),"")</f>
        <v>0</v>
      </c>
      <c r="E32" s="130">
        <f>IFERROR(SUMPRODUCT((危旧房屋改造项目分表!$B$6:$B$353=$E$3)*(危旧房屋改造项目分表!$AD$6:AD$353="是")*(危旧房屋改造项目分表!AG$6:$AG$353="否")*(危旧房屋改造项目分表!$O$6:$O$353="原址重建")*(危旧房屋改造项目分表!$V$6:$V$353&gt;=90%)*危旧房屋改造项目分表!$AF$6:$AF$353),"")</f>
        <v>0</v>
      </c>
      <c r="F32" s="130">
        <f>IFERROR(SUMPRODUCT((危旧房屋改造项目分表!$B$6:$B$353=$F$3)*(危旧房屋改造项目分表!$AD$6:AD$353="是")*(危旧房屋改造项目分表!AG$6:$AG$353="否")*(危旧房屋改造项目分表!$O$6:$O$353="原址重建")*(危旧房屋改造项目分表!$V$6:$V$353&gt;=90%)*危旧房屋改造项目分表!$AF$6:$AF$353),"")</f>
        <v>0</v>
      </c>
      <c r="G32" s="130">
        <f>IFERROR(SUMPRODUCT((危旧房屋改造项目分表!$B$6:$B$353=$G$3)*(危旧房屋改造项目分表!$AD$6:AD$353="是")*(危旧房屋改造项目分表!AG$6:$AG$353="否")*(危旧房屋改造项目分表!$O$6:$O$353="原址重建")*(危旧房屋改造项目分表!$V$6:$V$353&gt;=90%)*危旧房屋改造项目分表!$AF$6:$AF$353),"")</f>
        <v>0</v>
      </c>
      <c r="H32" s="130">
        <f>IFERROR(SUMPRODUCT((危旧房屋改造项目分表!$B$6:$B$353=$H$3)*(危旧房屋改造项目分表!$AD$6:AD$353="是")*(危旧房屋改造项目分表!AG$6:$AG$353="否")*(危旧房屋改造项目分表!$O$6:$O$353="原址重建")*(危旧房屋改造项目分表!$V$6:$V$353&gt;=90%)*危旧房屋改造项目分表!$AF$6:$AF$353),"")</f>
        <v>0</v>
      </c>
      <c r="I32" s="130">
        <f>IFERROR(SUMPRODUCT((危旧房屋改造项目分表!$B$6:$B$353=$I$3)*(危旧房屋改造项目分表!$AD$6:AD$353="是")*(危旧房屋改造项目分表!AG$6:$AG$353="否")*(危旧房屋改造项目分表!$O$6:$O$353="原址重建")*(危旧房屋改造项目分表!$V$6:$V$353&gt;=90%)*危旧房屋改造项目分表!$AF$6:$AF$353),"")</f>
        <v>0</v>
      </c>
      <c r="J32" s="130">
        <f>IFERROR(SUMPRODUCT((危旧房屋改造项目分表!$B$6:$B$353=$J$3)*(危旧房屋改造项目分表!$AD$6:AD$353="是")*(危旧房屋改造项目分表!AG$6:$AG$353="否")*(危旧房屋改造项目分表!$O$6:$O$353="原址重建")*(危旧房屋改造项目分表!$V$6:$V$353&gt;=90%)*危旧房屋改造项目分表!$AF$6:$AF$353),"")</f>
        <v>0</v>
      </c>
      <c r="K32" s="130">
        <f>IFERROR(SUMPRODUCT((危旧房屋改造项目分表!$B$6:$B$353=$K$3)*(危旧房屋改造项目分表!$AD$6:AD$353="是")*(危旧房屋改造项目分表!AG$6:$AG$353="否")*(危旧房屋改造项目分表!$O$6:$O$353="原址重建")*(危旧房屋改造项目分表!$V$6:$V$353&gt;=90%)*危旧房屋改造项目分表!$AF$6:$AF$353),"")</f>
        <v>0</v>
      </c>
      <c r="L32" s="130">
        <f>IFERROR(SUMPRODUCT((危旧房屋改造项目分表!$B$6:$B$353=$L$3)*(危旧房屋改造项目分表!$AD$6:AD$353="是")*(危旧房屋改造项目分表!AG$6:$AG$353="否")*(危旧房屋改造项目分表!$O$6:$O$353="原址重建")*(危旧房屋改造项目分表!$V$6:$V$353&gt;=90%)*危旧房屋改造项目分表!$AF$6:$AF$353),"")</f>
        <v>0</v>
      </c>
      <c r="M32" s="130">
        <f>IFERROR(SUMPRODUCT((危旧房屋改造项目分表!$AG$6:AH$353="是")*(危旧房屋改造项目分表!$AD$6:AD$353="是")*(危旧房屋改造项目分表!$O$6:$O$353="原址重建")*(危旧房屋改造项目分表!$V$6:$V$353&gt;=90%)*危旧房屋改造项目分表!$AF$6:$AF$353),"")</f>
        <v>0</v>
      </c>
      <c r="N32" s="130">
        <f>SUM($D$32:$M$32)</f>
        <v>0</v>
      </c>
      <c r="O32" s="149" t="str">
        <f>IF(ISERROR(N32/$N$35),"",N32/$N$35)</f>
        <v/>
      </c>
    </row>
    <row r="33" ht="15" customHeight="1" spans="1:15">
      <c r="A33" s="137"/>
      <c r="B33" s="140"/>
      <c r="C33" s="129" t="s">
        <v>18</v>
      </c>
      <c r="D33" s="130">
        <f>IFERROR(SUMPRODUCT((危旧房屋改造项目分表!$B$6:$B$353=$D$3)*(危旧房屋改造项目分表!$AD$6:AD$353="是")*(危旧房屋改造项目分表!AG$6:$AG$353="否")*(危旧房屋改造项目分表!$O$6:$O$353="原址重建")*(危旧房屋改造项目分表!$V$6:$V$353&gt;=90%)*危旧房屋改造项目分表!$K$6:$K$353),"")</f>
        <v>0</v>
      </c>
      <c r="E33" s="130">
        <f>IFERROR(SUMPRODUCT((危旧房屋改造项目分表!$B$6:$B$353=$E$3)*(危旧房屋改造项目分表!$AD$6:AD$353="是")*(危旧房屋改造项目分表!AG$6:$AG$353="否")*(危旧房屋改造项目分表!$O$6:$O$353="原址重建")*(危旧房屋改造项目分表!$V$6:$V$353&gt;=90%)*危旧房屋改造项目分表!$K$6:$K$353),"")</f>
        <v>0</v>
      </c>
      <c r="F33" s="130">
        <f>IFERROR(SUMPRODUCT((危旧房屋改造项目分表!$B$6:$B$353=$F$3)*(危旧房屋改造项目分表!$AD$6:AD$353="是")*(危旧房屋改造项目分表!AG$6:$AG$353="否")*(危旧房屋改造项目分表!$O$6:$O$353="原址重建")*(危旧房屋改造项目分表!$V$6:$V$353&gt;=90%)*危旧房屋改造项目分表!$K$6:$K$353),"")</f>
        <v>0</v>
      </c>
      <c r="G33" s="130">
        <f>IFERROR(SUMPRODUCT((危旧房屋改造项目分表!$B$6:$B$353=$G$3)*(危旧房屋改造项目分表!$AD$6:AD$353="是")*(危旧房屋改造项目分表!AG$6:$AG$353="否")*(危旧房屋改造项目分表!$O$6:$O$353="原址重建")*(危旧房屋改造项目分表!$V$6:$V$353&gt;=90%)*危旧房屋改造项目分表!$K$6:$K$353),"")</f>
        <v>0</v>
      </c>
      <c r="H33" s="130">
        <f>IFERROR(SUMPRODUCT((危旧房屋改造项目分表!$B$6:$B$353=$H$3)*(危旧房屋改造项目分表!$AD$6:AD$353="是")*(危旧房屋改造项目分表!AG$6:$AG$353="否")*(危旧房屋改造项目分表!$O$6:$O$353="原址重建")*(危旧房屋改造项目分表!$V$6:$V$353&gt;=90%)*危旧房屋改造项目分表!$K$6:$K$353),"")</f>
        <v>0</v>
      </c>
      <c r="I33" s="130">
        <f>IFERROR(SUMPRODUCT((危旧房屋改造项目分表!$B$6:$B$353=$I$3)*(危旧房屋改造项目分表!$AD$6:AD$353="是")*(危旧房屋改造项目分表!AG$6:$AG$353="否")*(危旧房屋改造项目分表!$O$6:$O$353="原址重建")*(危旧房屋改造项目分表!$V$6:$V$353&gt;=90%)*危旧房屋改造项目分表!$K$6:$K$353),"")</f>
        <v>0</v>
      </c>
      <c r="J33" s="130">
        <f>IFERROR(SUMPRODUCT((危旧房屋改造项目分表!$B$6:$B$353=$J$3)*(危旧房屋改造项目分表!$AD$6:AD$353="是")*(危旧房屋改造项目分表!AG$6:$AG$353="否")*(危旧房屋改造项目分表!$O$6:$O$353="原址重建")*(危旧房屋改造项目分表!$V$6:$V$353&gt;=90%)*危旧房屋改造项目分表!$K$6:$K$353),"")</f>
        <v>0</v>
      </c>
      <c r="K33" s="130">
        <f>IFERROR(SUMPRODUCT((危旧房屋改造项目分表!$B$6:$B$353=$K$3)*(危旧房屋改造项目分表!$AD$6:AD$353="是")*(危旧房屋改造项目分表!AG$6:$AG$353="否")*(危旧房屋改造项目分表!$O$6:$O$353="原址重建")*(危旧房屋改造项目分表!$V$6:$V$353&gt;=90%)*危旧房屋改造项目分表!$K$6:$K$353),"")</f>
        <v>0</v>
      </c>
      <c r="L33" s="130">
        <f>IFERROR(SUMPRODUCT((危旧房屋改造项目分表!$B$6:$B$353=$L$3)*(危旧房屋改造项目分表!$AD$6:AD$353="是")*(危旧房屋改造项目分表!AG$6:$AG$353="否")*(危旧房屋改造项目分表!$O$6:$O$353="原址重建")*(危旧房屋改造项目分表!$V$6:$V$353&gt;=90%)*危旧房屋改造项目分表!$K$6:$K$353),"")</f>
        <v>0</v>
      </c>
      <c r="M33" s="130">
        <f>IFERROR(SUMPRODUCT((危旧房屋改造项目分表!$AG$6:AH$353="是")*(危旧房屋改造项目分表!$AD$6:AD$353="是")*(危旧房屋改造项目分表!$O$6:$O$353="原址重建")*(危旧房屋改造项目分表!$V$6:$V$353&gt;=90%)*危旧房屋改造项目分表!$K$6:$K$353),"")</f>
        <v>0</v>
      </c>
      <c r="N33" s="130">
        <f>SUM($D$33:$M$33)</f>
        <v>0</v>
      </c>
      <c r="O33" s="149" t="str">
        <f>IF(ISERROR(N33/$N$36),"",N33/$N$36)</f>
        <v/>
      </c>
    </row>
    <row r="34" ht="15" customHeight="1" spans="1:15">
      <c r="A34" s="137"/>
      <c r="B34" s="140"/>
      <c r="C34" s="129" t="s">
        <v>19</v>
      </c>
      <c r="D34" s="130">
        <f>IFERROR(SUMPRODUCT((危旧房屋改造项目分表!$B$6:$B$353=$D$3)*(危旧房屋改造项目分表!$AD$6:AD$353="是")*(危旧房屋改造项目分表!AG$6:$AG$353="否")*(危旧房屋改造项目分表!$O$6:$O$353="原址重建")*(危旧房屋改造项目分表!$V$6:$V$353&gt;=90%)*危旧房屋改造项目分表!$L$6:$L$353),"")</f>
        <v>0</v>
      </c>
      <c r="E34" s="130">
        <f>IFERROR(SUMPRODUCT((危旧房屋改造项目分表!$B$6:$B$353=$E$3)*(危旧房屋改造项目分表!$AD$6:AD$353="是")*(危旧房屋改造项目分表!AG$6:$AG$353="否")*(危旧房屋改造项目分表!$O$6:$O$353="原址重建")*(危旧房屋改造项目分表!$V$6:$V$353&gt;=90%)*危旧房屋改造项目分表!$L$6:$L$353),"")</f>
        <v>0</v>
      </c>
      <c r="F34" s="130">
        <f>IFERROR(SUMPRODUCT((危旧房屋改造项目分表!$B$6:$B$353=$F$3)*(危旧房屋改造项目分表!$AD$6:AD$353="是")*(危旧房屋改造项目分表!AG$6:$AG$353="否")*(危旧房屋改造项目分表!$O$6:$O$353="原址重建")*(危旧房屋改造项目分表!$V$6:$V$353&gt;=90%)*危旧房屋改造项目分表!$L$6:$L$353),"")</f>
        <v>0</v>
      </c>
      <c r="G34" s="130">
        <f>IFERROR(SUMPRODUCT((危旧房屋改造项目分表!$B$6:$B$353=$G$3)*(危旧房屋改造项目分表!$AD$6:AD$353="是")*(危旧房屋改造项目分表!AG$6:$AG$353="否")*(危旧房屋改造项目分表!$O$6:$O$353="原址重建")*(危旧房屋改造项目分表!$V$6:$V$353&gt;=90%)*危旧房屋改造项目分表!$L$6:$L$353),"")</f>
        <v>0</v>
      </c>
      <c r="H34" s="130">
        <f>IFERROR(SUMPRODUCT((危旧房屋改造项目分表!$B$6:$B$353=$H$3)*(危旧房屋改造项目分表!$AD$6:AD$353="是")*(危旧房屋改造项目分表!AG$6:$AG$353="否")*(危旧房屋改造项目分表!$O$6:$O$353="原址重建")*(危旧房屋改造项目分表!$V$6:$V$353&gt;=90%)*危旧房屋改造项目分表!$L$6:$L$353),"")</f>
        <v>0</v>
      </c>
      <c r="I34" s="130">
        <f>IFERROR(SUMPRODUCT((危旧房屋改造项目分表!$B$6:$B$353=$I$3)*(危旧房屋改造项目分表!$AD$6:AD$353="是")*(危旧房屋改造项目分表!AG$6:$AG$353="否")*(危旧房屋改造项目分表!$O$6:$O$353="原址重建")*(危旧房屋改造项目分表!$V$6:$V$353&gt;=90%)*危旧房屋改造项目分表!$L$6:$L$353),"")</f>
        <v>0</v>
      </c>
      <c r="J34" s="130">
        <f>IFERROR(SUMPRODUCT((危旧房屋改造项目分表!$B$6:$B$353=$J$3)*(危旧房屋改造项目分表!$AD$6:AD$353="是")*(危旧房屋改造项目分表!AG$6:$AG$353="否")*(危旧房屋改造项目分表!$O$6:$O$353="原址重建")*(危旧房屋改造项目分表!$V$6:$V$353&gt;=90%)*危旧房屋改造项目分表!$L$6:$L$353),"")</f>
        <v>0</v>
      </c>
      <c r="K34" s="130">
        <f>IFERROR(SUMPRODUCT((危旧房屋改造项目分表!$B$6:$B$353=$K$3)*(危旧房屋改造项目分表!$AD$6:AD$353="是")*(危旧房屋改造项目分表!AG$6:$AG$353="否")*(危旧房屋改造项目分表!$O$6:$O$353="原址重建")*(危旧房屋改造项目分表!$V$6:$V$353&gt;=90%)*危旧房屋改造项目分表!$L$6:$L$353),"")</f>
        <v>0</v>
      </c>
      <c r="L34" s="130">
        <f>IFERROR(SUMPRODUCT((危旧房屋改造项目分表!$B$6:$B$353=$L$3)*(危旧房屋改造项目分表!$AD$6:AD$353="是")*(危旧房屋改造项目分表!AG$6:$AG$353="否")*(危旧房屋改造项目分表!$O$6:$O$353="原址重建")*(危旧房屋改造项目分表!$V$6:$V$353&gt;=90%)*危旧房屋改造项目分表!$L$6:$L$353),"")</f>
        <v>0</v>
      </c>
      <c r="M34" s="130">
        <f>IFERROR(SUMPRODUCT((危旧房屋改造项目分表!$AG$6:AH$353="是")*(危旧房屋改造项目分表!$AD$6:AD$353="是")*(危旧房屋改造项目分表!$O$6:$O$353="原址重建")*(危旧房屋改造项目分表!$V$6:$V$353&gt;=90%)*危旧房屋改造项目分表!$L$6:$L$353),"")</f>
        <v>0</v>
      </c>
      <c r="N34" s="130">
        <f>SUM($D$34:$M$34)</f>
        <v>0</v>
      </c>
      <c r="O34" s="149" t="str">
        <f>IF(ISERROR(N34/$N$37),"",N34/$N$37)</f>
        <v/>
      </c>
    </row>
    <row r="35" ht="15" customHeight="1" spans="1:15">
      <c r="A35" s="137"/>
      <c r="B35" s="129" t="s">
        <v>26</v>
      </c>
      <c r="C35" s="129" t="s">
        <v>17</v>
      </c>
      <c r="D35" s="141">
        <f t="shared" ref="D35:M35" si="2">D26+D29+D32+D23</f>
        <v>0</v>
      </c>
      <c r="E35" s="141">
        <f t="shared" si="2"/>
        <v>0</v>
      </c>
      <c r="F35" s="141">
        <f t="shared" si="2"/>
        <v>0</v>
      </c>
      <c r="G35" s="141">
        <f t="shared" si="2"/>
        <v>0</v>
      </c>
      <c r="H35" s="141">
        <f t="shared" si="2"/>
        <v>0</v>
      </c>
      <c r="I35" s="141">
        <f t="shared" si="2"/>
        <v>0</v>
      </c>
      <c r="J35" s="141">
        <f t="shared" si="2"/>
        <v>0</v>
      </c>
      <c r="K35" s="141">
        <f t="shared" si="2"/>
        <v>0</v>
      </c>
      <c r="L35" s="141">
        <f t="shared" si="2"/>
        <v>0</v>
      </c>
      <c r="M35" s="141">
        <f t="shared" si="2"/>
        <v>0</v>
      </c>
      <c r="N35" s="130">
        <f>SUM($D$35:$M$35)</f>
        <v>0</v>
      </c>
      <c r="O35" s="149" t="str">
        <f t="shared" ref="O35:O37" si="3">IF(ISERROR(N35/N4),"",N35/N4)</f>
        <v/>
      </c>
    </row>
    <row r="36" ht="15" customHeight="1" spans="1:15">
      <c r="A36" s="137"/>
      <c r="B36" s="129"/>
      <c r="C36" s="129" t="s">
        <v>18</v>
      </c>
      <c r="D36" s="141">
        <f t="shared" ref="D36:M36" si="4">D27+D30+D33+D24</f>
        <v>0</v>
      </c>
      <c r="E36" s="141">
        <f t="shared" si="4"/>
        <v>0</v>
      </c>
      <c r="F36" s="141">
        <f t="shared" si="4"/>
        <v>0</v>
      </c>
      <c r="G36" s="141">
        <f t="shared" si="4"/>
        <v>0</v>
      </c>
      <c r="H36" s="141">
        <f t="shared" si="4"/>
        <v>0</v>
      </c>
      <c r="I36" s="141">
        <f t="shared" si="4"/>
        <v>0</v>
      </c>
      <c r="J36" s="141">
        <f t="shared" si="4"/>
        <v>0</v>
      </c>
      <c r="K36" s="141">
        <f t="shared" si="4"/>
        <v>0</v>
      </c>
      <c r="L36" s="141">
        <f t="shared" si="4"/>
        <v>0</v>
      </c>
      <c r="M36" s="141">
        <f t="shared" si="4"/>
        <v>0</v>
      </c>
      <c r="N36" s="130">
        <f>SUM($D$36:$M$36)</f>
        <v>0</v>
      </c>
      <c r="O36" s="149" t="str">
        <f t="shared" si="3"/>
        <v/>
      </c>
    </row>
    <row r="37" ht="15" customHeight="1" spans="1:15">
      <c r="A37" s="142"/>
      <c r="B37" s="129"/>
      <c r="C37" s="129" t="s">
        <v>19</v>
      </c>
      <c r="D37" s="143">
        <f t="shared" ref="D37:M37" si="5">D28+D31+D34+D25</f>
        <v>0</v>
      </c>
      <c r="E37" s="143">
        <f t="shared" si="5"/>
        <v>0</v>
      </c>
      <c r="F37" s="143">
        <f t="shared" si="5"/>
        <v>0</v>
      </c>
      <c r="G37" s="143">
        <f t="shared" si="5"/>
        <v>0</v>
      </c>
      <c r="H37" s="143">
        <f t="shared" si="5"/>
        <v>0</v>
      </c>
      <c r="I37" s="143">
        <f t="shared" si="5"/>
        <v>0</v>
      </c>
      <c r="J37" s="143">
        <f t="shared" si="5"/>
        <v>0</v>
      </c>
      <c r="K37" s="143">
        <f t="shared" si="5"/>
        <v>0</v>
      </c>
      <c r="L37" s="143">
        <f t="shared" si="5"/>
        <v>0</v>
      </c>
      <c r="M37" s="143">
        <f t="shared" si="5"/>
        <v>0</v>
      </c>
      <c r="N37" s="130">
        <f>SUM($D$37:$M$37)</f>
        <v>0</v>
      </c>
      <c r="O37" s="149" t="str">
        <f t="shared" si="3"/>
        <v/>
      </c>
    </row>
    <row r="38" ht="15" customHeight="1" spans="1:15">
      <c r="A38" s="135" t="s">
        <v>28</v>
      </c>
      <c r="B38" s="140" t="s">
        <v>22</v>
      </c>
      <c r="C38" s="129" t="s">
        <v>17</v>
      </c>
      <c r="D38" s="130">
        <f>IFERROR(SUMPRODUCT((危旧房屋改造项目分表!$B$6:$B$353=$D$3)*(危旧房屋改造项目分表!$AD$6:AD$353="是")*(危旧房屋改造项目分表!AG$6:$AG$353="否")*(危旧房屋改造项目分表!$O$6:$O$353="加面重建")*(危旧房屋改造项目分表!$V$6:$V$353&lt;=10%)*危旧房屋改造项目分表!$AF$6:$AF$353),"")</f>
        <v>0</v>
      </c>
      <c r="E38" s="130">
        <f>IFERROR(SUMPRODUCT((危旧房屋改造项目分表!$B$6:$B$353=$E$3)*(危旧房屋改造项目分表!$AD$6:AD$353="是")*(危旧房屋改造项目分表!AG$6:$AG$353="否")*(危旧房屋改造项目分表!$O$6:$O$353="加面重建")*(危旧房屋改造项目分表!$V$6:$V$353&lt;=10%)*危旧房屋改造项目分表!$AF$6:$AF$353),"")</f>
        <v>0</v>
      </c>
      <c r="F38" s="130">
        <f>IFERROR(SUMPRODUCT((危旧房屋改造项目分表!$B$6:$B$353=$F$3)*(危旧房屋改造项目分表!$AD$6:AD$353="是")*(危旧房屋改造项目分表!AG$6:$AG$353="否")*(危旧房屋改造项目分表!$O$6:$O$353="加面重建")*(危旧房屋改造项目分表!$V$6:$V$353&lt;=10%)*危旧房屋改造项目分表!$AF$6:$AF$353),"")</f>
        <v>0</v>
      </c>
      <c r="G38" s="130">
        <f>IFERROR(SUMPRODUCT((危旧房屋改造项目分表!$B$6:$B$353=$G$3)*(危旧房屋改造项目分表!$AD$6:AD$353="是")*(危旧房屋改造项目分表!AG$6:$AG$353="否")*(危旧房屋改造项目分表!$O$6:$O$353="加面重建")*(危旧房屋改造项目分表!$V$6:$V$353&lt;=10%)*危旧房屋改造项目分表!$AF$6:$AF$353),"")</f>
        <v>0</v>
      </c>
      <c r="H38" s="130">
        <f>IFERROR(SUMPRODUCT((危旧房屋改造项目分表!$B$6:$B$353=$H$3)*(危旧房屋改造项目分表!$AD$6:AD$353="是")*(危旧房屋改造项目分表!AG$6:$AG$353="否")*(危旧房屋改造项目分表!$O$6:$O$353="加面重建")*(危旧房屋改造项目分表!$V$6:$V$353&lt;=10%)*危旧房屋改造项目分表!$AF$6:$AF$353),"")</f>
        <v>0</v>
      </c>
      <c r="I38" s="130">
        <f>IFERROR(SUMPRODUCT((危旧房屋改造项目分表!$B$6:$B$353=$I$3)*(危旧房屋改造项目分表!$AD$6:AD$353="是")*(危旧房屋改造项目分表!AG$6:$AG$353="否")*(危旧房屋改造项目分表!$O$6:$O$353="加面重建")*(危旧房屋改造项目分表!$V$6:$V$353&lt;=10%)*危旧房屋改造项目分表!$AF$6:$AF$353),"")</f>
        <v>0</v>
      </c>
      <c r="J38" s="130">
        <f>IFERROR(SUMPRODUCT((危旧房屋改造项目分表!$B$6:$B$353=$J$3)*(危旧房屋改造项目分表!$AD$6:AD$353="是")*(危旧房屋改造项目分表!AG$6:$AG$353="否")*(危旧房屋改造项目分表!$O$6:$O$353="加面重建")*(危旧房屋改造项目分表!$V$6:$V$353&lt;=10%)*危旧房屋改造项目分表!$AF$6:$AF$353),"")</f>
        <v>0</v>
      </c>
      <c r="K38" s="130">
        <f>IFERROR(SUMPRODUCT((危旧房屋改造项目分表!$B$6:$B$353=$K$3)*(危旧房屋改造项目分表!$AD$6:AD$353="是")*(危旧房屋改造项目分表!AG$6:$AG$353="否")*(危旧房屋改造项目分表!$O$6:$O$353="加面重建")*(危旧房屋改造项目分表!$V$6:$V$353&lt;=10%)*危旧房屋改造项目分表!$AF$6:$AF$353),"")</f>
        <v>0</v>
      </c>
      <c r="L38" s="130">
        <f>IFERROR(SUMPRODUCT((危旧房屋改造项目分表!$B$6:$B$353=$L$3)*(危旧房屋改造项目分表!$AD$6:AD$353="是")*(危旧房屋改造项目分表!AG$6:$AG$353="否")*(危旧房屋改造项目分表!$O$6:$O$353="加面重建")*(危旧房屋改造项目分表!$V$6:$V$353&lt;=10%)*危旧房屋改造项目分表!$AF$6:$AF$353),"")</f>
        <v>0</v>
      </c>
      <c r="M38" s="130">
        <f>IFERROR(SUMPRODUCT((危旧房屋改造项目分表!$AG$6:AH$353="是")*(危旧房屋改造项目分表!$AD$6:AD$353="是")*(危旧房屋改造项目分表!$O$6:$O$353="加面重建")*(危旧房屋改造项目分表!$V$6:$V$353&lt;=10%)*危旧房屋改造项目分表!$AF$6:$AF$353),"")</f>
        <v>0</v>
      </c>
      <c r="N38" s="130">
        <f>SUM($D$38:$M$38)</f>
        <v>0</v>
      </c>
      <c r="O38" s="149" t="str">
        <f>IF(ISERROR(N38/$N$50),"",N38/$N$50)</f>
        <v/>
      </c>
    </row>
    <row r="39" ht="15" customHeight="1" spans="1:15">
      <c r="A39" s="137"/>
      <c r="B39" s="140"/>
      <c r="C39" s="129" t="s">
        <v>18</v>
      </c>
      <c r="D39" s="130">
        <f>IFERROR(SUMPRODUCT((危旧房屋改造项目分表!$B$6:$B$353=$D$3)*(危旧房屋改造项目分表!$AD$6:AD$353="是")*(危旧房屋改造项目分表!AG$6:$AG$353="否")*(危旧房屋改造项目分表!$O$6:$O$353="加面重建")*(危旧房屋改造项目分表!$V$6:$V$353&lt;=10%)*危旧房屋改造项目分表!$K$6:$K$353),"")</f>
        <v>0</v>
      </c>
      <c r="E39" s="130">
        <f>IFERROR(SUMPRODUCT((危旧房屋改造项目分表!$B$6:$B$353=$E$3)*(危旧房屋改造项目分表!$AD$6:AD$353="是")*(危旧房屋改造项目分表!AG$6:$AG$353="否")*(危旧房屋改造项目分表!$O$6:$O$353="加面重建")*(危旧房屋改造项目分表!$V$6:$V$353&lt;=10%)*危旧房屋改造项目分表!$K$6:$K$353),"")</f>
        <v>0</v>
      </c>
      <c r="F39" s="130">
        <f>IFERROR(SUMPRODUCT((危旧房屋改造项目分表!$B$6:$B$353=$F$3)*(危旧房屋改造项目分表!$AD$6:AD$353="是")*(危旧房屋改造项目分表!AG$6:$AG$353="否")*(危旧房屋改造项目分表!$O$6:$O$353="加面重建")*(危旧房屋改造项目分表!$V$6:$V$353&lt;=10%)*危旧房屋改造项目分表!$K$6:$K$353),"")</f>
        <v>0</v>
      </c>
      <c r="G39" s="130">
        <f>IFERROR(SUMPRODUCT((危旧房屋改造项目分表!$B$6:$B$353=$G$3)*(危旧房屋改造项目分表!$AD$6:AD$353="是")*(危旧房屋改造项目分表!AG$6:$AG$353="否")*(危旧房屋改造项目分表!$O$6:$O$353="加面重建")*(危旧房屋改造项目分表!$V$6:$V$353&lt;=10%)*危旧房屋改造项目分表!$K$6:$K$353),"")</f>
        <v>0</v>
      </c>
      <c r="H39" s="130">
        <f>IFERROR(SUMPRODUCT((危旧房屋改造项目分表!$B$6:$B$353=$H$3)*(危旧房屋改造项目分表!$AD$6:AD$353="是")*(危旧房屋改造项目分表!AG$6:$AG$353="否")*(危旧房屋改造项目分表!$O$6:$O$353="加面重建")*(危旧房屋改造项目分表!$V$6:$V$353&lt;=10%)*危旧房屋改造项目分表!$K$6:$K$353),"")</f>
        <v>0</v>
      </c>
      <c r="I39" s="130">
        <f>IFERROR(SUMPRODUCT((危旧房屋改造项目分表!$B$6:$B$353=$I$3)*(危旧房屋改造项目分表!$AD$6:AD$353="是")*(危旧房屋改造项目分表!AG$6:$AG$353="否")*(危旧房屋改造项目分表!$O$6:$O$353="加面重建")*(危旧房屋改造项目分表!$V$6:$V$353&lt;=10%)*危旧房屋改造项目分表!$K$6:$K$353),"")</f>
        <v>0</v>
      </c>
      <c r="J39" s="130">
        <f>IFERROR(SUMPRODUCT((危旧房屋改造项目分表!$B$6:$B$353=$J$3)*(危旧房屋改造项目分表!$AD$6:AD$353="是")*(危旧房屋改造项目分表!AG$6:$AG$353="否")*(危旧房屋改造项目分表!$O$6:$O$353="加面重建")*(危旧房屋改造项目分表!$V$6:$V$353&lt;=10%)*危旧房屋改造项目分表!$K$6:$K$353),"")</f>
        <v>0</v>
      </c>
      <c r="K39" s="130">
        <f>IFERROR(SUMPRODUCT((危旧房屋改造项目分表!$B$6:$B$353=$K$3)*(危旧房屋改造项目分表!$AD$6:AD$353="是")*(危旧房屋改造项目分表!AG$6:$AG$353="否")*(危旧房屋改造项目分表!$O$6:$O$353="加面重建")*(危旧房屋改造项目分表!$V$6:$V$353&lt;=10%)*危旧房屋改造项目分表!$K$6:$K$353),"")</f>
        <v>0</v>
      </c>
      <c r="L39" s="130">
        <f>IFERROR(SUMPRODUCT((危旧房屋改造项目分表!$B$6:$B$353=$L$3)*(危旧房屋改造项目分表!$AD$6:AD$353="是")*(危旧房屋改造项目分表!AG$6:$AG$353="否")*(危旧房屋改造项目分表!$O$6:$O$353="加面重建")*(危旧房屋改造项目分表!$V$6:$V$353&lt;=10%)*危旧房屋改造项目分表!$K$6:$K$353),"")</f>
        <v>0</v>
      </c>
      <c r="M39" s="130">
        <f>IFERROR(SUMPRODUCT((危旧房屋改造项目分表!$AG$6:AH$353="是")*(危旧房屋改造项目分表!$AD$6:AD$353="是")*(危旧房屋改造项目分表!$O$6:$O$353="加面重建")*(危旧房屋改造项目分表!$V$6:$V$353&lt;=10%)*危旧房屋改造项目分表!$K$6:$K$353),"")</f>
        <v>0</v>
      </c>
      <c r="N39" s="130">
        <f>SUM($D$39:$M$39)</f>
        <v>0</v>
      </c>
      <c r="O39" s="149" t="str">
        <f>IF(ISERROR(N39/$N$51),"",N39/$N$51)</f>
        <v/>
      </c>
    </row>
    <row r="40" ht="15" customHeight="1" spans="1:15">
      <c r="A40" s="137"/>
      <c r="B40" s="140"/>
      <c r="C40" s="129" t="s">
        <v>19</v>
      </c>
      <c r="D40" s="130">
        <f>IFERROR(SUMPRODUCT((危旧房屋改造项目分表!$B$6:$B$353=$D$3)*(危旧房屋改造项目分表!$AD$6:AD$353="是")*(危旧房屋改造项目分表!AG$6:$AG$353="否")*(危旧房屋改造项目分表!$O$6:$O$353="加面重建")*(危旧房屋改造项目分表!$V$6:$V$353&lt;=10%)*危旧房屋改造项目分表!$L$6:$L$353),"")</f>
        <v>0</v>
      </c>
      <c r="E40" s="130">
        <f>IFERROR(SUMPRODUCT((危旧房屋改造项目分表!$B$6:$B$353=$E$3)*(危旧房屋改造项目分表!$AD$6:AD$353="是")*(危旧房屋改造项目分表!AG$6:$AG$353="否")*(危旧房屋改造项目分表!$O$6:$O$353="加面重建")*(危旧房屋改造项目分表!$V$6:$V$353&lt;=10%)*危旧房屋改造项目分表!$L$6:$L$353),"")</f>
        <v>0</v>
      </c>
      <c r="F40" s="130">
        <f>IFERROR(SUMPRODUCT((危旧房屋改造项目分表!$B$6:$B$353=$F$3)*(危旧房屋改造项目分表!$AD$6:AD$353="是")*(危旧房屋改造项目分表!AG$6:$AG$353="否")*(危旧房屋改造项目分表!$O$6:$O$353="加面重建")*(危旧房屋改造项目分表!$V$6:$V$353&lt;=10%)*危旧房屋改造项目分表!$L$6:$L$353),"")</f>
        <v>0</v>
      </c>
      <c r="G40" s="130">
        <f>IFERROR(SUMPRODUCT((危旧房屋改造项目分表!$B$6:$B$353=$G$3)*(危旧房屋改造项目分表!$AD$6:AD$353="是")*(危旧房屋改造项目分表!AG$6:$AG$353="否")*(危旧房屋改造项目分表!$O$6:$O$353="加面重建")*(危旧房屋改造项目分表!$V$6:$V$353&lt;=10%)*危旧房屋改造项目分表!$L$6:$L$353),"")</f>
        <v>0</v>
      </c>
      <c r="H40" s="130">
        <f>IFERROR(SUMPRODUCT((危旧房屋改造项目分表!$B$6:$B$353=$H$3)*(危旧房屋改造项目分表!$AD$6:AD$353="是")*(危旧房屋改造项目分表!AG$6:$AG$353="否")*(危旧房屋改造项目分表!$O$6:$O$353="加面重建")*(危旧房屋改造项目分表!$V$6:$V$353&lt;=10%)*危旧房屋改造项目分表!$L$6:$L$353),"")</f>
        <v>0</v>
      </c>
      <c r="I40" s="130">
        <f>IFERROR(SUMPRODUCT((危旧房屋改造项目分表!$B$6:$B$353=$I$3)*(危旧房屋改造项目分表!$AD$6:AD$353="是")*(危旧房屋改造项目分表!AG$6:$AG$353="否")*(危旧房屋改造项目分表!$O$6:$O$353="加面重建")*(危旧房屋改造项目分表!$V$6:$V$353&lt;=10%)*危旧房屋改造项目分表!$L$6:$L$353),"")</f>
        <v>0</v>
      </c>
      <c r="J40" s="130">
        <f>IFERROR(SUMPRODUCT((危旧房屋改造项目分表!$B$6:$B$353=$J$3)*(危旧房屋改造项目分表!$AD$6:AD$353="是")*(危旧房屋改造项目分表!AG$6:$AG$353="否")*(危旧房屋改造项目分表!$O$6:$O$353="加面重建")*(危旧房屋改造项目分表!$V$6:$V$353&lt;=10%)*危旧房屋改造项目分表!$L$6:$L$353),"")</f>
        <v>0</v>
      </c>
      <c r="K40" s="130">
        <f>IFERROR(SUMPRODUCT((危旧房屋改造项目分表!$B$6:$B$353=$K$3)*(危旧房屋改造项目分表!$AD$6:AD$353="是")*(危旧房屋改造项目分表!AG$6:$AG$353="否")*(危旧房屋改造项目分表!$O$6:$O$353="加面重建")*(危旧房屋改造项目分表!$V$6:$V$353&lt;=10%)*危旧房屋改造项目分表!$L$6:$L$353),"")</f>
        <v>0</v>
      </c>
      <c r="L40" s="130">
        <f>IFERROR(SUMPRODUCT((危旧房屋改造项目分表!$B$6:$B$353=$L$3)*(危旧房屋改造项目分表!$AD$6:AD$353="是")*(危旧房屋改造项目分表!AG$6:$AG$353="否")*(危旧房屋改造项目分表!$O$6:$O$353="加面重建")*(危旧房屋改造项目分表!$V$6:$V$353&lt;=10%)*危旧房屋改造项目分表!$L$6:$L$353),"")</f>
        <v>0</v>
      </c>
      <c r="M40" s="130">
        <f>IFERROR(SUMPRODUCT((危旧房屋改造项目分表!$AG$6:AH$353="是")*(危旧房屋改造项目分表!$AD$6:AD$353="是")*(危旧房屋改造项目分表!$O$6:$O$353="加面重建")*(危旧房屋改造项目分表!$V$6:$V$353&lt;=10%)*危旧房屋改造项目分表!$L$6:$L$353),"")</f>
        <v>0</v>
      </c>
      <c r="N40" s="130">
        <f>SUM($D$40:$M$40)</f>
        <v>0</v>
      </c>
      <c r="O40" s="149" t="str">
        <f>IF(ISERROR(N40/$N$52),"",N40/$N$52)</f>
        <v/>
      </c>
    </row>
    <row r="41" ht="15" customHeight="1" spans="1:15">
      <c r="A41" s="137"/>
      <c r="B41" s="140" t="s">
        <v>23</v>
      </c>
      <c r="C41" s="129" t="s">
        <v>17</v>
      </c>
      <c r="D41" s="130">
        <f>IFERROR(SUMPRODUCT((危旧房屋改造项目分表!$B$6:$B$353=$D$3)*(危旧房屋改造项目分表!$AD$6:AD$353="是")*(危旧房屋改造项目分表!AG$6:$AG$353="否")*(危旧房屋改造项目分表!$O$6:$O$353="加面重建")*(危旧房屋改造项目分表!$V$6:$V$353&gt;=11%)*(危旧房屋改造项目分表!$V$6:$V$353&lt;=30%)*危旧房屋改造项目分表!$AF$6:$AF$353),"")</f>
        <v>0</v>
      </c>
      <c r="E41" s="130">
        <f>IFERROR(SUMPRODUCT((危旧房屋改造项目分表!$B$6:$B$353=$E$3)*(危旧房屋改造项目分表!$AD$6:AD$353="是")*(危旧房屋改造项目分表!AG$6:$AG$353="否")*(危旧房屋改造项目分表!$O$6:$O$353="加面重建")*(危旧房屋改造项目分表!$V$6:$V$353&gt;=11%)*(危旧房屋改造项目分表!$V$6:$V$353&lt;=30%)*危旧房屋改造项目分表!$AF$6:$AF$353),"")</f>
        <v>0</v>
      </c>
      <c r="F41" s="130">
        <f>IFERROR(SUMPRODUCT((危旧房屋改造项目分表!$B$6:$B$353=$F$3)*(危旧房屋改造项目分表!$AD$6:AD$353="是")*(危旧房屋改造项目分表!AG$6:$AG$353="否")*(危旧房屋改造项目分表!$O$6:$O$353="加面重建")*(危旧房屋改造项目分表!$V$6:$V$353&gt;=11%)*(危旧房屋改造项目分表!$V$6:$V$353&lt;=30%)*危旧房屋改造项目分表!$AF$6:$AF$353),"")</f>
        <v>0</v>
      </c>
      <c r="G41" s="130">
        <f>IFERROR(SUMPRODUCT((危旧房屋改造项目分表!$B$6:$B$353=$G$3)*(危旧房屋改造项目分表!$AD$6:AD$353="是")*(危旧房屋改造项目分表!AG$6:$AG$353="否")*(危旧房屋改造项目分表!$O$6:$O$353="加面重建")*(危旧房屋改造项目分表!$V$6:$V$353&gt;=11%)*(危旧房屋改造项目分表!$V$6:$V$353&lt;=30%)*危旧房屋改造项目分表!$AF$6:$AF$353),"")</f>
        <v>0</v>
      </c>
      <c r="H41" s="130">
        <f>IFERROR(SUMPRODUCT((危旧房屋改造项目分表!$B$6:$B$353=$H$3)*(危旧房屋改造项目分表!$AD$6:AD$353="是")*(危旧房屋改造项目分表!AG$6:$AG$353="否")*(危旧房屋改造项目分表!$O$6:$O$353="加面重建")*(危旧房屋改造项目分表!$V$6:$V$353&gt;=11%)*(危旧房屋改造项目分表!$V$6:$V$353&lt;=30%)*危旧房屋改造项目分表!$AF$6:$AF$353),"")</f>
        <v>0</v>
      </c>
      <c r="I41" s="130">
        <f>IFERROR(SUMPRODUCT((危旧房屋改造项目分表!$B$6:$B$353=$I$3)*(危旧房屋改造项目分表!$AD$6:AD$353="是")*(危旧房屋改造项目分表!AG$6:$AG$353="否")*(危旧房屋改造项目分表!$O$6:$O$353="加面重建")*(危旧房屋改造项目分表!$V$6:$V$353&gt;=11%)*(危旧房屋改造项目分表!$V$6:$V$353&lt;=30%)*危旧房屋改造项目分表!$AF$6:$AF$353),"")</f>
        <v>0</v>
      </c>
      <c r="J41" s="130">
        <f>IFERROR(SUMPRODUCT((危旧房屋改造项目分表!$B$6:$B$353=$J$3)*(危旧房屋改造项目分表!$AD$6:AD$353="是")*(危旧房屋改造项目分表!AG$6:$AG$353="否")*(危旧房屋改造项目分表!$O$6:$O$353="加面重建")*(危旧房屋改造项目分表!$V$6:$V$353&gt;=11%)*(危旧房屋改造项目分表!$V$6:$V$353&lt;=30%)*危旧房屋改造项目分表!$AF$6:$AF$353),"")</f>
        <v>0</v>
      </c>
      <c r="K41" s="130">
        <f>IFERROR(SUMPRODUCT((危旧房屋改造项目分表!$B$6:$B$353=$K$3)*(危旧房屋改造项目分表!$AD$6:AD$353="是")*(危旧房屋改造项目分表!AG$6:$AG$353="否")*(危旧房屋改造项目分表!$O$6:$O$353="加面重建")*(危旧房屋改造项目分表!$V$6:$V$353&gt;=11%)*(危旧房屋改造项目分表!$V$6:$V$353&lt;=30%)*危旧房屋改造项目分表!$AF$6:$AF$353),"")</f>
        <v>0</v>
      </c>
      <c r="L41" s="130">
        <f>IFERROR(SUMPRODUCT((危旧房屋改造项目分表!$B$6:$B$353=$L$3)*(危旧房屋改造项目分表!$AD$6:AD$353="是")*(危旧房屋改造项目分表!AG$6:$AG$353="否")*(危旧房屋改造项目分表!$O$6:$O$353="加面重建")*(危旧房屋改造项目分表!$V$6:$V$353&gt;=11%)*(危旧房屋改造项目分表!$V$6:$V$353&lt;=30%)*危旧房屋改造项目分表!$AF$6:$AF$353),"")</f>
        <v>0</v>
      </c>
      <c r="M41" s="130">
        <f>IFERROR(SUMPRODUCT((危旧房屋改造项目分表!$AG$6:AH$353="是")*(危旧房屋改造项目分表!$AD$6:AD$353="是")*(危旧房屋改造项目分表!$O$6:$O$353="加面重建")*(危旧房屋改造项目分表!$V$6:$V$353&gt;=11%)*(危旧房屋改造项目分表!$V$6:$V$353&lt;=30%)*危旧房屋改造项目分表!$AF$6:$AF$353),"")</f>
        <v>0</v>
      </c>
      <c r="N41" s="130">
        <f>SUM($D$41:$M$41)</f>
        <v>0</v>
      </c>
      <c r="O41" s="149" t="str">
        <f>IF(ISERROR(N41/$N$50),"",N41/$N$50)</f>
        <v/>
      </c>
    </row>
    <row r="42" ht="15" customHeight="1" spans="1:15">
      <c r="A42" s="137"/>
      <c r="B42" s="140"/>
      <c r="C42" s="129" t="s">
        <v>18</v>
      </c>
      <c r="D42" s="130">
        <f>IFERROR(SUMPRODUCT((危旧房屋改造项目分表!$B$6:$B$353=$D$3)*(危旧房屋改造项目分表!$AD$6:AD$353="是")*(危旧房屋改造项目分表!AG$6:$AG$353="否")*(危旧房屋改造项目分表!$O$6:$O$353="加面重建")*(危旧房屋改造项目分表!$V$6:$V$353&gt;=11%)*(危旧房屋改造项目分表!$V$6:$V$353&lt;=30%)*危旧房屋改造项目分表!$K$6:$K$353),"")</f>
        <v>0</v>
      </c>
      <c r="E42" s="130">
        <f>IFERROR(SUMPRODUCT((危旧房屋改造项目分表!$B$6:$B$353=$E$3)*(危旧房屋改造项目分表!$AD$6:AD$353="是")*(危旧房屋改造项目分表!AG$6:$AG$353="否")*(危旧房屋改造项目分表!$O$6:$O$353="加面重建")*(危旧房屋改造项目分表!$V$6:$V$353&gt;=11%)*(危旧房屋改造项目分表!$V$6:$V$353&lt;=30%)*危旧房屋改造项目分表!$K$6:$K$353),"")</f>
        <v>0</v>
      </c>
      <c r="F42" s="130">
        <f>IFERROR(SUMPRODUCT((危旧房屋改造项目分表!$B$6:$B$353=$F$3)*(危旧房屋改造项目分表!$AD$6:AD$353="是")*(危旧房屋改造项目分表!AG$6:$AG$353="否")*(危旧房屋改造项目分表!$O$6:$O$353="加面重建")*(危旧房屋改造项目分表!$V$6:$V$353&gt;=11%)*(危旧房屋改造项目分表!$V$6:$V$353&lt;=30%)*危旧房屋改造项目分表!$K$6:$K$353),"")</f>
        <v>0</v>
      </c>
      <c r="G42" s="130">
        <f>IFERROR(SUMPRODUCT((危旧房屋改造项目分表!$B$6:$B$353=$G$3)*(危旧房屋改造项目分表!$AD$6:AD$353="是")*(危旧房屋改造项目分表!AG$6:$AG$353="否")*(危旧房屋改造项目分表!$O$6:$O$353="加面重建")*(危旧房屋改造项目分表!$V$6:$V$353&gt;=11%)*(危旧房屋改造项目分表!$V$6:$V$353&lt;=30%)*危旧房屋改造项目分表!$K$6:$K$353),"")</f>
        <v>0</v>
      </c>
      <c r="H42" s="130">
        <f>IFERROR(SUMPRODUCT((危旧房屋改造项目分表!$B$6:$B$353=$H$3)*(危旧房屋改造项目分表!$AD$6:AD$353="是")*(危旧房屋改造项目分表!AG$6:$AG$353="否")*(危旧房屋改造项目分表!$O$6:$O$353="加面重建")*(危旧房屋改造项目分表!$V$6:$V$353&gt;=11%)*(危旧房屋改造项目分表!$V$6:$V$353&lt;=30%)*危旧房屋改造项目分表!$K$6:$K$353),"")</f>
        <v>0</v>
      </c>
      <c r="I42" s="130">
        <f>IFERROR(SUMPRODUCT((危旧房屋改造项目分表!$B$6:$B$353=$I$3)*(危旧房屋改造项目分表!$AD$6:AD$353="是")*(危旧房屋改造项目分表!AG$6:$AG$353="否")*(危旧房屋改造项目分表!$O$6:$O$353="加面重建")*(危旧房屋改造项目分表!$V$6:$V$353&gt;=11%)*(危旧房屋改造项目分表!$V$6:$V$353&lt;=30%)*危旧房屋改造项目分表!$K$6:$K$353),"")</f>
        <v>0</v>
      </c>
      <c r="J42" s="130">
        <f>IFERROR(SUMPRODUCT((危旧房屋改造项目分表!$B$6:$B$353=$J$3)*(危旧房屋改造项目分表!$AD$6:AD$353="是")*(危旧房屋改造项目分表!AG$6:$AG$353="否")*(危旧房屋改造项目分表!$O$6:$O$353="加面重建")*(危旧房屋改造项目分表!$V$6:$V$353&gt;=11%)*(危旧房屋改造项目分表!$V$6:$V$353&lt;=30%)*危旧房屋改造项目分表!$K$6:$K$353),"")</f>
        <v>0</v>
      </c>
      <c r="K42" s="130">
        <f>IFERROR(SUMPRODUCT((危旧房屋改造项目分表!$B$6:$B$353=$K$3)*(危旧房屋改造项目分表!$AD$6:AD$353="是")*(危旧房屋改造项目分表!AG$6:$AG$353="否")*(危旧房屋改造项目分表!$O$6:$O$353="加面重建")*(危旧房屋改造项目分表!$V$6:$V$353&gt;=11%)*(危旧房屋改造项目分表!$V$6:$V$353&lt;=30%)*危旧房屋改造项目分表!$K$6:$K$353),"")</f>
        <v>0</v>
      </c>
      <c r="L42" s="130">
        <f>IFERROR(SUMPRODUCT((危旧房屋改造项目分表!$B$6:$B$353=$L$3)*(危旧房屋改造项目分表!$AD$6:AD$353="是")*(危旧房屋改造项目分表!AG$6:$AG$353="否")*(危旧房屋改造项目分表!$O$6:$O$353="加面重建")*(危旧房屋改造项目分表!$V$6:$V$353&gt;=11%)*(危旧房屋改造项目分表!$V$6:$V$353&lt;=30%)*危旧房屋改造项目分表!$K$6:$K$353),"")</f>
        <v>0</v>
      </c>
      <c r="M42" s="130">
        <f>IFERROR(SUMPRODUCT((危旧房屋改造项目分表!$AG$6:AH$353="是")*(危旧房屋改造项目分表!$AD$6:AD$353="是")*(危旧房屋改造项目分表!$O$6:$O$353="加面重建")*(危旧房屋改造项目分表!$V$6:$V$353&gt;=11%)*(危旧房屋改造项目分表!$V$6:$V$353&lt;=30%)*危旧房屋改造项目分表!$K$6:$K$353),"")</f>
        <v>0</v>
      </c>
      <c r="N42" s="130">
        <f>SUM($D$42:$M$42)</f>
        <v>0</v>
      </c>
      <c r="O42" s="149" t="str">
        <f>IF(ISERROR(N42/$N$51),"",N42/$N$51)</f>
        <v/>
      </c>
    </row>
    <row r="43" ht="15" customHeight="1" spans="1:15">
      <c r="A43" s="137"/>
      <c r="B43" s="140"/>
      <c r="C43" s="129" t="s">
        <v>19</v>
      </c>
      <c r="D43" s="130">
        <f>IFERROR(SUMPRODUCT((危旧房屋改造项目分表!$B$6:$B$353=$D$3)*(危旧房屋改造项目分表!$AD$6:AD$353="是")*(危旧房屋改造项目分表!AG$6:$AG$353="否")*(危旧房屋改造项目分表!$O$6:$O$353="加面重建")*(危旧房屋改造项目分表!$V$6:$V$353&gt;=11%)*(危旧房屋改造项目分表!$V$6:$V$353&lt;=30%)*危旧房屋改造项目分表!$L$6:$L$353),"")</f>
        <v>0</v>
      </c>
      <c r="E43" s="130">
        <f>IFERROR(SUMPRODUCT((危旧房屋改造项目分表!$B$6:$B$353=$E$3)*(危旧房屋改造项目分表!$AD$6:AD$353="是")*(危旧房屋改造项目分表!AG$6:$AG$353="否")*(危旧房屋改造项目分表!$O$6:$O$353="加面重建")*(危旧房屋改造项目分表!$V$6:$V$353&gt;=11%)*(危旧房屋改造项目分表!$V$6:$V$353&lt;=30%)*危旧房屋改造项目分表!$L$6:$L$353),"")</f>
        <v>0</v>
      </c>
      <c r="F43" s="130">
        <f>IFERROR(SUMPRODUCT((危旧房屋改造项目分表!$B$6:$B$353=$F$3)*(危旧房屋改造项目分表!$AD$6:AD$353="是")*(危旧房屋改造项目分表!AG$6:$AG$353="否")*(危旧房屋改造项目分表!$O$6:$O$353="加面重建")*(危旧房屋改造项目分表!$V$6:$V$353&gt;=11%)*(危旧房屋改造项目分表!$V$6:$V$353&lt;=30%)*危旧房屋改造项目分表!$L$6:$L$353),"")</f>
        <v>0</v>
      </c>
      <c r="G43" s="130">
        <f>IFERROR(SUMPRODUCT((危旧房屋改造项目分表!$B$6:$B$353=$G$3)*(危旧房屋改造项目分表!$AD$6:AD$353="是")*(危旧房屋改造项目分表!AG$6:$AG$353="否")*(危旧房屋改造项目分表!$O$6:$O$353="加面重建")*(危旧房屋改造项目分表!$V$6:$V$353&gt;=11%)*(危旧房屋改造项目分表!$V$6:$V$353&lt;=30%)*危旧房屋改造项目分表!$L$6:$L$353),"")</f>
        <v>0</v>
      </c>
      <c r="H43" s="130">
        <f>IFERROR(SUMPRODUCT((危旧房屋改造项目分表!$B$6:$B$353=$H$3)*(危旧房屋改造项目分表!$AD$6:AD$353="是")*(危旧房屋改造项目分表!AG$6:$AG$353="否")*(危旧房屋改造项目分表!$O$6:$O$353="加面重建")*(危旧房屋改造项目分表!$V$6:$V$353&gt;=11%)*(危旧房屋改造项目分表!$V$6:$V$353&lt;=30%)*危旧房屋改造项目分表!$L$6:$L$353),"")</f>
        <v>0</v>
      </c>
      <c r="I43" s="130">
        <f>IFERROR(SUMPRODUCT((危旧房屋改造项目分表!$B$6:$B$353=$I$3)*(危旧房屋改造项目分表!$AD$6:AD$353="是")*(危旧房屋改造项目分表!AG$6:$AG$353="否")*(危旧房屋改造项目分表!$O$6:$O$353="加面重建")*(危旧房屋改造项目分表!$V$6:$V$353&gt;=11%)*(危旧房屋改造项目分表!$V$6:$V$353&lt;=30%)*危旧房屋改造项目分表!$L$6:$L$353),"")</f>
        <v>0</v>
      </c>
      <c r="J43" s="130">
        <f>IFERROR(SUMPRODUCT((危旧房屋改造项目分表!$B$6:$B$353=$J$3)*(危旧房屋改造项目分表!$AD$6:AD$353="是")*(危旧房屋改造项目分表!AG$6:$AG$353="否")*(危旧房屋改造项目分表!$O$6:$O$353="加面重建")*(危旧房屋改造项目分表!$V$6:$V$353&gt;=11%)*(危旧房屋改造项目分表!$V$6:$V$353&lt;=30%)*危旧房屋改造项目分表!$L$6:$L$353),"")</f>
        <v>0</v>
      </c>
      <c r="K43" s="130">
        <f>IFERROR(SUMPRODUCT((危旧房屋改造项目分表!$B$6:$B$353=$K$3)*(危旧房屋改造项目分表!$AD$6:AD$353="是")*(危旧房屋改造项目分表!AG$6:$AG$353="否")*(危旧房屋改造项目分表!$O$6:$O$353="加面重建")*(危旧房屋改造项目分表!$V$6:$V$353&gt;=11%)*(危旧房屋改造项目分表!$V$6:$V$353&lt;=30%)*危旧房屋改造项目分表!$L$6:$L$353),"")</f>
        <v>0</v>
      </c>
      <c r="L43" s="130">
        <f>IFERROR(SUMPRODUCT((危旧房屋改造项目分表!$B$6:$B$353=$L$3)*(危旧房屋改造项目分表!$AD$6:AD$353="是")*(危旧房屋改造项目分表!AG$6:$AG$353="否")*(危旧房屋改造项目分表!$O$6:$O$353="加面重建")*(危旧房屋改造项目分表!$V$6:$V$353&gt;=11%)*(危旧房屋改造项目分表!$V$6:$V$353&lt;=30%)*危旧房屋改造项目分表!$L$6:$L$353),"")</f>
        <v>0</v>
      </c>
      <c r="M43" s="130">
        <f>IFERROR(SUMPRODUCT((危旧房屋改造项目分表!$AG$6:AH$353="是")*(危旧房屋改造项目分表!$AD$6:AD$353="是")*(危旧房屋改造项目分表!$O$6:$O$353="加面重建")*(危旧房屋改造项目分表!$V$6:$V$353&gt;=11%)*(危旧房屋改造项目分表!$V$6:$V$353&lt;=30%)*危旧房屋改造项目分表!$L$6:$L$353),"")</f>
        <v>0</v>
      </c>
      <c r="N43" s="130">
        <f>SUM($D$43:$M$43)</f>
        <v>0</v>
      </c>
      <c r="O43" s="149" t="str">
        <f>IF(ISERROR(N43/$N$52),"",N43/$N$52)</f>
        <v/>
      </c>
    </row>
    <row r="44" ht="15" customHeight="1" spans="1:15">
      <c r="A44" s="137"/>
      <c r="B44" s="140" t="s">
        <v>24</v>
      </c>
      <c r="C44" s="129" t="s">
        <v>17</v>
      </c>
      <c r="D44" s="130">
        <f>IFERROR(SUMPRODUCT((危旧房屋改造项目分表!$B$6:$B$353=$D$3)*(危旧房屋改造项目分表!$AD$6:AD$353="是")*(危旧房屋改造项目分表!AG$6:$AG$353="否")*(危旧房屋改造项目分表!$O$6:$O$353="加面重建")*(危旧房屋改造项目分表!$V$6:$V$353&gt;=31%)*(危旧房屋改造项目分表!$V$6:$V$353&lt;=89%)*危旧房屋改造项目分表!$AF$6:$AF$353),"")</f>
        <v>0</v>
      </c>
      <c r="E44" s="130">
        <f>IFERROR(SUMPRODUCT((危旧房屋改造项目分表!$B$6:$B$353=$E$3)*(危旧房屋改造项目分表!$AD$6:AD$353="是")*(危旧房屋改造项目分表!AG$6:$AG$353="否")*(危旧房屋改造项目分表!$O$6:$O$353="加面重建")*(危旧房屋改造项目分表!$V$6:$V$353&gt;=31%)*(危旧房屋改造项目分表!$V$6:$V$353&lt;=89%)*危旧房屋改造项目分表!$AF$6:$AF$353),"")</f>
        <v>0</v>
      </c>
      <c r="F44" s="130">
        <f>IFERROR(SUMPRODUCT((危旧房屋改造项目分表!$B$6:$B$353=$F$3)*(危旧房屋改造项目分表!$AD$6:AD$353="是")*(危旧房屋改造项目分表!AG$6:$AG$353="否")*(危旧房屋改造项目分表!$O$6:$O$353="加面重建")*(危旧房屋改造项目分表!$V$6:$V$353&gt;=31%)*(危旧房屋改造项目分表!$V$6:$V$353&lt;=89%)*危旧房屋改造项目分表!$AF$6:$AF$353),"")</f>
        <v>0</v>
      </c>
      <c r="G44" s="130">
        <f>IFERROR(SUMPRODUCT((危旧房屋改造项目分表!$B$6:$B$353=$G$3)*(危旧房屋改造项目分表!$AD$6:AD$353="是")*(危旧房屋改造项目分表!AG$6:$AG$353="否")*(危旧房屋改造项目分表!$O$6:$O$353="加面重建")*(危旧房屋改造项目分表!$V$6:$V$353&gt;=31%)*(危旧房屋改造项目分表!$V$6:$V$353&lt;=89%)*危旧房屋改造项目分表!$AF$6:$AF$353),"")</f>
        <v>0</v>
      </c>
      <c r="H44" s="130">
        <f>IFERROR(SUMPRODUCT((危旧房屋改造项目分表!$B$6:$B$353=$H$3)*(危旧房屋改造项目分表!$AD$6:AD$353="是")*(危旧房屋改造项目分表!AG$6:$AG$353="否")*(危旧房屋改造项目分表!$O$6:$O$353="加面重建")*(危旧房屋改造项目分表!$V$6:$V$353&gt;=31%)*(危旧房屋改造项目分表!$V$6:$V$353&lt;=89%)*危旧房屋改造项目分表!$AF$6:$AF$353),"")</f>
        <v>0</v>
      </c>
      <c r="I44" s="130">
        <f>IFERROR(SUMPRODUCT((危旧房屋改造项目分表!$B$6:$B$353=$I$3)*(危旧房屋改造项目分表!$AD$6:AD$353="是")*(危旧房屋改造项目分表!AG$6:$AG$353="否")*(危旧房屋改造项目分表!$O$6:$O$353="加面重建")*(危旧房屋改造项目分表!$V$6:$V$353&gt;=31%)*(危旧房屋改造项目分表!$V$6:$V$353&lt;=89%)*危旧房屋改造项目分表!$AF$6:$AF$353),"")</f>
        <v>0</v>
      </c>
      <c r="J44" s="130">
        <f>IFERROR(SUMPRODUCT((危旧房屋改造项目分表!$B$6:$B$353=$J$3)*(危旧房屋改造项目分表!$AD$6:AD$353="是")*(危旧房屋改造项目分表!AG$6:$AG$353="否")*(危旧房屋改造项目分表!$O$6:$O$353="加面重建")*(危旧房屋改造项目分表!$V$6:$V$353&gt;=31%)*(危旧房屋改造项目分表!$V$6:$V$353&lt;=89%)*危旧房屋改造项目分表!$AF$6:$AF$353),"")</f>
        <v>0</v>
      </c>
      <c r="K44" s="130">
        <f>IFERROR(SUMPRODUCT((危旧房屋改造项目分表!$B$6:$B$353=$K$3)*(危旧房屋改造项目分表!$AD$6:AD$353="是")*(危旧房屋改造项目分表!AG$6:$AG$353="否")*(危旧房屋改造项目分表!$O$6:$O$353="加面重建")*(危旧房屋改造项目分表!$V$6:$V$353&gt;=31%)*(危旧房屋改造项目分表!$V$6:$V$353&lt;=89%)*危旧房屋改造项目分表!$AF$6:$AF$353),"")</f>
        <v>0</v>
      </c>
      <c r="L44" s="130">
        <f>IFERROR(SUMPRODUCT((危旧房屋改造项目分表!$B$6:$B$353=$L$3)*(危旧房屋改造项目分表!$AD$6:AD$353="是")*(危旧房屋改造项目分表!AG$6:$AG$353="否")*(危旧房屋改造项目分表!$O$6:$O$353="加面重建")*(危旧房屋改造项目分表!$V$6:$V$353&gt;=31%)*(危旧房屋改造项目分表!$V$6:$V$353&lt;=89%)*危旧房屋改造项目分表!$AF$6:$AF$353),"")</f>
        <v>0</v>
      </c>
      <c r="M44" s="130">
        <f>IFERROR(SUMPRODUCT((危旧房屋改造项目分表!$AG$6:AH$353="是")*(危旧房屋改造项目分表!$AD$6:AD$353="是")*(危旧房屋改造项目分表!$O$6:$O$353="加面重建")*(危旧房屋改造项目分表!$V$6:$V$353&gt;=31%)*(危旧房屋改造项目分表!$V$6:$V$353&lt;=89%)*危旧房屋改造项目分表!$AF$6:$AF$353),"")</f>
        <v>0</v>
      </c>
      <c r="N44" s="130">
        <f>SUM($D$44:$M$44)</f>
        <v>0</v>
      </c>
      <c r="O44" s="149" t="str">
        <f>IF(ISERROR(N44/$N$50),"",N44/$N$50)</f>
        <v/>
      </c>
    </row>
    <row r="45" ht="15" customHeight="1" spans="1:15">
      <c r="A45" s="137"/>
      <c r="B45" s="140"/>
      <c r="C45" s="129" t="s">
        <v>18</v>
      </c>
      <c r="D45" s="130">
        <f>IFERROR(SUMPRODUCT((危旧房屋改造项目分表!$B$6:$B$353=$D$3)*(危旧房屋改造项目分表!$AD$6:AD$353="是")*(危旧房屋改造项目分表!AG$6:$AG$353="否")*(危旧房屋改造项目分表!$O$6:$O$353="加面重建")*(危旧房屋改造项目分表!$V$6:$V$353&gt;=31%)*(危旧房屋改造项目分表!$V$6:$V$353&lt;=89%)*危旧房屋改造项目分表!$K$6:$K$353),"")</f>
        <v>0</v>
      </c>
      <c r="E45" s="130">
        <f>IFERROR(SUMPRODUCT((危旧房屋改造项目分表!$B$6:$B$353=$E$3)*(危旧房屋改造项目分表!$AD$6:AD$353="是")*(危旧房屋改造项目分表!AG$6:$AG$353="否")*(危旧房屋改造项目分表!$O$6:$O$353="加面重建")*(危旧房屋改造项目分表!$V$6:$V$353&gt;=31%)*(危旧房屋改造项目分表!$V$6:$V$353&lt;=89%)*危旧房屋改造项目分表!$K$6:$K$353),"")</f>
        <v>0</v>
      </c>
      <c r="F45" s="130">
        <f>IFERROR(SUMPRODUCT((危旧房屋改造项目分表!$B$6:$B$353=$F$3)*(危旧房屋改造项目分表!$AD$6:AD$353="是")*(危旧房屋改造项目分表!AG$6:$AG$353="否")*(危旧房屋改造项目分表!$O$6:$O$353="加面重建")*(危旧房屋改造项目分表!$V$6:$V$353&gt;=31%)*(危旧房屋改造项目分表!$V$6:$V$353&lt;=89%)*危旧房屋改造项目分表!$K$6:$K$353),"")</f>
        <v>0</v>
      </c>
      <c r="G45" s="130">
        <f>IFERROR(SUMPRODUCT((危旧房屋改造项目分表!$B$6:$B$353=$G$3)*(危旧房屋改造项目分表!$AD$6:AD$353="是")*(危旧房屋改造项目分表!AG$6:$AG$353="否")*(危旧房屋改造项目分表!$O$6:$O$353="加面重建")*(危旧房屋改造项目分表!$V$6:$V$353&gt;=31%)*(危旧房屋改造项目分表!$V$6:$V$353&lt;=89%)*危旧房屋改造项目分表!$K$6:$K$353),"")</f>
        <v>0</v>
      </c>
      <c r="H45" s="130">
        <f>IFERROR(SUMPRODUCT((危旧房屋改造项目分表!$B$6:$B$353=$H$3)*(危旧房屋改造项目分表!$AD$6:AD$353="是")*(危旧房屋改造项目分表!AG$6:$AG$353="否")*(危旧房屋改造项目分表!$O$6:$O$353="加面重建")*(危旧房屋改造项目分表!$V$6:$V$353&gt;=31%)*(危旧房屋改造项目分表!$V$6:$V$353&lt;=89%)*危旧房屋改造项目分表!$K$6:$K$353),"")</f>
        <v>0</v>
      </c>
      <c r="I45" s="130">
        <f>IFERROR(SUMPRODUCT((危旧房屋改造项目分表!$B$6:$B$353=$I$3)*(危旧房屋改造项目分表!$AD$6:AD$353="是")*(危旧房屋改造项目分表!AG$6:$AG$353="否")*(危旧房屋改造项目分表!$O$6:$O$353="加面重建")*(危旧房屋改造项目分表!$V$6:$V$353&gt;=31%)*(危旧房屋改造项目分表!$V$6:$V$353&lt;=89%)*危旧房屋改造项目分表!$K$6:$K$353),"")</f>
        <v>0</v>
      </c>
      <c r="J45" s="130">
        <f>IFERROR(SUMPRODUCT((危旧房屋改造项目分表!$B$6:$B$353=$J$3)*(危旧房屋改造项目分表!$AD$6:AD$353="是")*(危旧房屋改造项目分表!AG$6:$AG$353="否")*(危旧房屋改造项目分表!$O$6:$O$353="加面重建")*(危旧房屋改造项目分表!$V$6:$V$353&gt;=31%)*(危旧房屋改造项目分表!$V$6:$V$353&lt;=89%)*危旧房屋改造项目分表!$K$6:$K$353),"")</f>
        <v>0</v>
      </c>
      <c r="K45" s="130">
        <f>IFERROR(SUMPRODUCT((危旧房屋改造项目分表!$B$6:$B$353=$K$3)*(危旧房屋改造项目分表!$AD$6:AD$353="是")*(危旧房屋改造项目分表!AG$6:$AG$353="否")*(危旧房屋改造项目分表!$O$6:$O$353="加面重建")*(危旧房屋改造项目分表!$V$6:$V$353&gt;=31%)*(危旧房屋改造项目分表!$V$6:$V$353&lt;=89%)*危旧房屋改造项目分表!$K$6:$K$353),"")</f>
        <v>0</v>
      </c>
      <c r="L45" s="130">
        <f>IFERROR(SUMPRODUCT((危旧房屋改造项目分表!$B$6:$B$353=$L$3)*(危旧房屋改造项目分表!$AD$6:AD$353="是")*(危旧房屋改造项目分表!AG$6:$AG$353="否")*(危旧房屋改造项目分表!$O$6:$O$353="加面重建")*(危旧房屋改造项目分表!$V$6:$V$353&gt;=31%)*(危旧房屋改造项目分表!$V$6:$V$353&lt;=89%)*危旧房屋改造项目分表!$K$6:$K$353),"")</f>
        <v>0</v>
      </c>
      <c r="M45" s="130">
        <f>IFERROR(SUMPRODUCT((危旧房屋改造项目分表!$AG$6:AH$353="是")*(危旧房屋改造项目分表!$AD$6:AD$353="是")*(危旧房屋改造项目分表!$O$6:$O$353="加面重建")*(危旧房屋改造项目分表!$V$6:$V$353&gt;=31%)*(危旧房屋改造项目分表!$V$6:$V$353&lt;=89%)*危旧房屋改造项目分表!$K$6:$K$353),"")</f>
        <v>0</v>
      </c>
      <c r="N45" s="130">
        <f>SUM($D$45:$M$45)</f>
        <v>0</v>
      </c>
      <c r="O45" s="149" t="str">
        <f>IF(ISERROR(N45/$N$51),"",N45/$N$51)</f>
        <v/>
      </c>
    </row>
    <row r="46" ht="15" customHeight="1" spans="1:15">
      <c r="A46" s="137"/>
      <c r="B46" s="140"/>
      <c r="C46" s="129" t="s">
        <v>19</v>
      </c>
      <c r="D46" s="130">
        <f>IFERROR(SUMPRODUCT((危旧房屋改造项目分表!$B$6:$B$353=$D$3)*(危旧房屋改造项目分表!$AD$6:AD$353="是")*(危旧房屋改造项目分表!AG$6:$AG$353="否")*(危旧房屋改造项目分表!$O$6:$O$353="加面重建")*(危旧房屋改造项目分表!$V$6:$V$353&gt;=31%)*(危旧房屋改造项目分表!$V$6:$V$353&lt;=89%)*危旧房屋改造项目分表!$L$6:$L$353),"")</f>
        <v>0</v>
      </c>
      <c r="E46" s="130">
        <f>IFERROR(SUMPRODUCT((危旧房屋改造项目分表!$B$6:$B$353=$F$3)*(危旧房屋改造项目分表!$AD$6:AD$353="是")*(危旧房屋改造项目分表!AG$6:$AG$353="否")*(危旧房屋改造项目分表!$O$6:$O$353="加面重建")*(危旧房屋改造项目分表!$V$6:$V$353&gt;=31%)*(危旧房屋改造项目分表!$V$6:$V$353&lt;=89%)*危旧房屋改造项目分表!$L$6:$L$353),"")</f>
        <v>0</v>
      </c>
      <c r="F46" s="130">
        <f>IFERROR(SUMPRODUCT((危旧房屋改造项目分表!$B$6:$B$353=$F$3)*(危旧房屋改造项目分表!$AD$6:AD$353="是")*(危旧房屋改造项目分表!AG$6:$AG$353="否")*(危旧房屋改造项目分表!$O$6:$O$353="加面重建")*(危旧房屋改造项目分表!$V$6:$V$353&gt;=31%)*(危旧房屋改造项目分表!$V$6:$V$353&lt;=89%)*危旧房屋改造项目分表!$L$6:$L$353),"")</f>
        <v>0</v>
      </c>
      <c r="G46" s="130">
        <f>IFERROR(SUMPRODUCT((危旧房屋改造项目分表!$B$6:$B$353=$G$3)*(危旧房屋改造项目分表!$AD$6:AD$353="是")*(危旧房屋改造项目分表!AG$6:$AG$353="否")*(危旧房屋改造项目分表!$O$6:$O$353="加面重建")*(危旧房屋改造项目分表!$V$6:$V$353&gt;=31%)*(危旧房屋改造项目分表!$V$6:$V$353&lt;=89%)*危旧房屋改造项目分表!$L$6:$L$353),"")</f>
        <v>0</v>
      </c>
      <c r="H46" s="130">
        <f>IFERROR(SUMPRODUCT((危旧房屋改造项目分表!$B$6:$B$353=$H$3)*(危旧房屋改造项目分表!$AD$6:AD$353="是")*(危旧房屋改造项目分表!AG$6:$AG$353="否")*(危旧房屋改造项目分表!$O$6:$O$353="加面重建")*(危旧房屋改造项目分表!$V$6:$V$353&gt;=31%)*(危旧房屋改造项目分表!$V$6:$V$353&lt;=89%)*危旧房屋改造项目分表!$L$6:$L$353),"")</f>
        <v>0</v>
      </c>
      <c r="I46" s="130">
        <f>IFERROR(SUMPRODUCT((危旧房屋改造项目分表!$B$6:$B$353=$I$3)*(危旧房屋改造项目分表!$AD$6:AD$353="是")*(危旧房屋改造项目分表!AG$6:$AG$353="否")*(危旧房屋改造项目分表!$O$6:$O$353="加面重建")*(危旧房屋改造项目分表!$V$6:$V$353&gt;=31%)*(危旧房屋改造项目分表!$V$6:$V$353&lt;=89%)*危旧房屋改造项目分表!$L$6:$L$353),"")</f>
        <v>0</v>
      </c>
      <c r="J46" s="130">
        <f>IFERROR(SUMPRODUCT((危旧房屋改造项目分表!$B$6:$B$353=$J$3)*(危旧房屋改造项目分表!$AD$6:AD$353="是")*(危旧房屋改造项目分表!AG$6:$AG$353="否")*(危旧房屋改造项目分表!$O$6:$O$353="加面重建")*(危旧房屋改造项目分表!$V$6:$V$353&gt;=31%)*(危旧房屋改造项目分表!$V$6:$V$353&lt;=89%)*危旧房屋改造项目分表!$L$6:$L$353),"")</f>
        <v>0</v>
      </c>
      <c r="K46" s="130">
        <f>IFERROR(SUMPRODUCT((危旧房屋改造项目分表!$B$6:$B$353=$K$3)*(危旧房屋改造项目分表!$AD$6:AD$353="是")*(危旧房屋改造项目分表!AG$6:$AG$353="否")*(危旧房屋改造项目分表!$O$6:$O$353="加面重建")*(危旧房屋改造项目分表!$V$6:$V$353&gt;=31%)*(危旧房屋改造项目分表!$V$6:$V$353&lt;=89%)*危旧房屋改造项目分表!$L$6:$L$353),"")</f>
        <v>0</v>
      </c>
      <c r="L46" s="130">
        <f>IFERROR(SUMPRODUCT((危旧房屋改造项目分表!$B$6:$B$353=$L$3)*(危旧房屋改造项目分表!$AD$6:AD$353="是")*(危旧房屋改造项目分表!AG$6:$AG$353="否")*(危旧房屋改造项目分表!$O$6:$O$353="加面重建")*(危旧房屋改造项目分表!$V$6:$V$353&gt;=31%)*(危旧房屋改造项目分表!$V$6:$V$353&lt;=89%)*危旧房屋改造项目分表!$L$6:$L$353),"")</f>
        <v>0</v>
      </c>
      <c r="M46" s="130">
        <f>IFERROR(SUMPRODUCT((危旧房屋改造项目分表!$AG$6:AH$353="是")*(危旧房屋改造项目分表!$AD$6:AD$353="是")*(危旧房屋改造项目分表!$O$6:$O$353="加面重建")*(危旧房屋改造项目分表!$V$6:$V$353&gt;=31%)*(危旧房屋改造项目分表!$V$6:$V$353&lt;=89%)*危旧房屋改造项目分表!$L$6:$L$353),"")</f>
        <v>0</v>
      </c>
      <c r="N46" s="130">
        <f>SUM($D$46:$M$46)</f>
        <v>0</v>
      </c>
      <c r="O46" s="149" t="str">
        <f>IF(ISERROR(N46/$N$52),"",N46/$N$52)</f>
        <v/>
      </c>
    </row>
    <row r="47" ht="15" customHeight="1" spans="1:15">
      <c r="A47" s="137"/>
      <c r="B47" s="140" t="s">
        <v>25</v>
      </c>
      <c r="C47" s="129" t="s">
        <v>17</v>
      </c>
      <c r="D47" s="130">
        <f>IFERROR(SUMPRODUCT((危旧房屋改造项目分表!$B$6:$B$353=$D$3)*(危旧房屋改造项目分表!$AD$6:AD$353="是")*(危旧房屋改造项目分表!AG$6:$AG$353="否")*(危旧房屋改造项目分表!$O$6:$O$353="加面重建")*(危旧房屋改造项目分表!$V$6:$V$353&gt;=90%)*危旧房屋改造项目分表!$AF$6:$AF$353),"")</f>
        <v>0</v>
      </c>
      <c r="E47" s="130">
        <f>IFERROR(SUMPRODUCT((危旧房屋改造项目分表!$B$6:$B$353=$E$3)*(危旧房屋改造项目分表!$AD$6:AD$353="是")*(危旧房屋改造项目分表!AG$6:$AG$353="否")*(危旧房屋改造项目分表!$O$6:$O$353="加面重建")*(危旧房屋改造项目分表!$V$6:$V$353&gt;=90%)*危旧房屋改造项目分表!$AF$6:$AF$353),"")</f>
        <v>0</v>
      </c>
      <c r="F47" s="130">
        <f>IFERROR(SUMPRODUCT((危旧房屋改造项目分表!$B$6:$B$353=$F$3)*(危旧房屋改造项目分表!$AD$6:AD$353="是")*(危旧房屋改造项目分表!AG$6:$AG$353="否")*(危旧房屋改造项目分表!$O$6:$O$353="加面重建")*(危旧房屋改造项目分表!$V$6:$V$353&gt;=90%)*危旧房屋改造项目分表!$AF$6:$AF$353),"")</f>
        <v>0</v>
      </c>
      <c r="G47" s="130">
        <f>IFERROR(SUMPRODUCT((危旧房屋改造项目分表!$B$6:$B$353=$G$3)*(危旧房屋改造项目分表!$AD$6:AD$353="是")*(危旧房屋改造项目分表!AG$6:$AG$353="否")*(危旧房屋改造项目分表!$O$6:$O$353="加面重建")*(危旧房屋改造项目分表!$V$6:$V$353&gt;=90%)*危旧房屋改造项目分表!$AF$6:$AF$353),"")</f>
        <v>0</v>
      </c>
      <c r="H47" s="130">
        <f>IFERROR(SUMPRODUCT((危旧房屋改造项目分表!$B$6:$B$353=$H$3)*(危旧房屋改造项目分表!$AD$6:AD$353="是")*(危旧房屋改造项目分表!AG$6:$AG$353="否")*(危旧房屋改造项目分表!$O$6:$O$353="加面重建")*(危旧房屋改造项目分表!$V$6:$V$353&gt;=90%)*危旧房屋改造项目分表!$AF$6:$AF$353),"")</f>
        <v>0</v>
      </c>
      <c r="I47" s="130">
        <f>IFERROR(SUMPRODUCT((危旧房屋改造项目分表!$B$6:$B$353=$I$3)*(危旧房屋改造项目分表!$AD$6:AD$353="是")*(危旧房屋改造项目分表!AG$6:$AG$353="否")*(危旧房屋改造项目分表!$O$6:$O$353="加面重建")*(危旧房屋改造项目分表!$V$6:$V$353&gt;=90%)*危旧房屋改造项目分表!$AF$6:$AF$353),"")</f>
        <v>0</v>
      </c>
      <c r="J47" s="130">
        <f>IFERROR(SUMPRODUCT((危旧房屋改造项目分表!$B$6:$B$353=$J$3)*(危旧房屋改造项目分表!$AD$6:AD$353="是")*(危旧房屋改造项目分表!AG$6:$AG$353="否")*(危旧房屋改造项目分表!$O$6:$O$353="加面重建")*(危旧房屋改造项目分表!$V$6:$V$353&gt;=90%)*危旧房屋改造项目分表!$AF$6:$AF$353),"")</f>
        <v>0</v>
      </c>
      <c r="K47" s="130">
        <f>IFERROR(SUMPRODUCT((危旧房屋改造项目分表!$B$6:$B$353=$K$3)*(危旧房屋改造项目分表!$AD$6:AD$353="是")*(危旧房屋改造项目分表!AG$6:$AG$353="否")*(危旧房屋改造项目分表!$O$6:$O$353="加面重建")*(危旧房屋改造项目分表!$V$6:$V$353&gt;=90%)*危旧房屋改造项目分表!$AF$6:$AF$353),"")</f>
        <v>0</v>
      </c>
      <c r="L47" s="130">
        <f>IFERROR(SUMPRODUCT((危旧房屋改造项目分表!$B$6:$B$353=$L$3)*(危旧房屋改造项目分表!$AD$6:AD$353="是")*(危旧房屋改造项目分表!AG$6:$AG$353="否")*(危旧房屋改造项目分表!$O$6:$O$353="加面重建")*(危旧房屋改造项目分表!$V$6:$V$353&gt;=90%)*危旧房屋改造项目分表!$AF$6:$AF$353),"")</f>
        <v>0</v>
      </c>
      <c r="M47" s="130">
        <f>IFERROR(SUMPRODUCT((危旧房屋改造项目分表!$AG$6:AH$353="是")*(危旧房屋改造项目分表!$AD$6:AD$353="是")*(危旧房屋改造项目分表!$O$6:$O$353="加面重建")*(危旧房屋改造项目分表!$V$6:$V$353&gt;=90%)*危旧房屋改造项目分表!$AF$6:$AF$353),"")</f>
        <v>0</v>
      </c>
      <c r="N47" s="130">
        <f>SUM($D$47:$M$47)</f>
        <v>0</v>
      </c>
      <c r="O47" s="149" t="str">
        <f>IF(ISERROR(N47/$N$50),"",N47/$N$50)</f>
        <v/>
      </c>
    </row>
    <row r="48" ht="15" customHeight="1" spans="1:15">
      <c r="A48" s="137"/>
      <c r="B48" s="140"/>
      <c r="C48" s="129" t="s">
        <v>18</v>
      </c>
      <c r="D48" s="130">
        <f>IFERROR(SUMPRODUCT((危旧房屋改造项目分表!$B$6:$B$353=$D$3)*(危旧房屋改造项目分表!$AD$6:AD$353="是")*(危旧房屋改造项目分表!AG$6:$AG$353="否")*(危旧房屋改造项目分表!$O$6:$O$353="加面重建")*(危旧房屋改造项目分表!$V$6:$V$353&gt;=90%)*危旧房屋改造项目分表!$K$6:$K$353),"")</f>
        <v>0</v>
      </c>
      <c r="E48" s="130">
        <f>IFERROR(SUMPRODUCT((危旧房屋改造项目分表!$B$6:$B$353=$E$3)*(危旧房屋改造项目分表!$AD$6:AD$353="是")*(危旧房屋改造项目分表!AG$6:$AG$353="否")*(危旧房屋改造项目分表!$O$6:$O$353="加面重建")*(危旧房屋改造项目分表!$V$6:$V$353&gt;=90%)*危旧房屋改造项目分表!$K$6:$K$353),"")</f>
        <v>0</v>
      </c>
      <c r="F48" s="130">
        <f>IFERROR(SUMPRODUCT((危旧房屋改造项目分表!$B$6:$B$353=$F$3)*(危旧房屋改造项目分表!$AD$6:AD$353="是")*(危旧房屋改造项目分表!AG$6:$AG$353="否")*(危旧房屋改造项目分表!$O$6:$O$353="加面重建")*(危旧房屋改造项目分表!$V$6:$V$353&gt;=90%)*危旧房屋改造项目分表!$K$6:$K$353),"")</f>
        <v>0</v>
      </c>
      <c r="G48" s="130">
        <f>IFERROR(SUMPRODUCT((危旧房屋改造项目分表!$B$6:$B$353=$G$3)*(危旧房屋改造项目分表!$AD$6:AD$353="是")*(危旧房屋改造项目分表!AG$6:$AG$353="否")*(危旧房屋改造项目分表!$O$6:$O$353="加面重建")*(危旧房屋改造项目分表!$V$6:$V$353&gt;=90%)*危旧房屋改造项目分表!$K$6:$K$353),"")</f>
        <v>0</v>
      </c>
      <c r="H48" s="130">
        <f>IFERROR(SUMPRODUCT((危旧房屋改造项目分表!$B$6:$B$353=$H$3)*(危旧房屋改造项目分表!$AD$6:AD$353="是")*(危旧房屋改造项目分表!AG$6:$AG$353="否")*(危旧房屋改造项目分表!$O$6:$O$353="加面重建")*(危旧房屋改造项目分表!$V$6:$V$353&gt;=90%)*危旧房屋改造项目分表!$K$6:$K$353),"")</f>
        <v>0</v>
      </c>
      <c r="I48" s="130">
        <f>IFERROR(SUMPRODUCT((危旧房屋改造项目分表!$B$6:$B$353=$I$3)*(危旧房屋改造项目分表!$AD$6:AD$353="是")*(危旧房屋改造项目分表!AG$6:$AG$353="否")*(危旧房屋改造项目分表!$O$6:$O$353="加面重建")*(危旧房屋改造项目分表!$V$6:$V$353&gt;=90%)*危旧房屋改造项目分表!$K$6:$K$353),"")</f>
        <v>0</v>
      </c>
      <c r="J48" s="130">
        <f>IFERROR(SUMPRODUCT((危旧房屋改造项目分表!$B$6:$B$353=$J$3)*(危旧房屋改造项目分表!$AD$6:AD$353="是")*(危旧房屋改造项目分表!AG$6:$AG$353="否")*(危旧房屋改造项目分表!$O$6:$O$353="加面重建")*(危旧房屋改造项目分表!$V$6:$V$353&gt;=90%)*危旧房屋改造项目分表!$K$6:$K$353),"")</f>
        <v>0</v>
      </c>
      <c r="K48" s="130">
        <f>IFERROR(SUMPRODUCT((危旧房屋改造项目分表!$B$6:$B$353=$K$3)*(危旧房屋改造项目分表!$AD$6:AD$353="是")*(危旧房屋改造项目分表!AG$6:$AG$353="否")*(危旧房屋改造项目分表!$O$6:$O$353="加面重建")*(危旧房屋改造项目分表!$V$6:$V$353&gt;=90%)*危旧房屋改造项目分表!$K$6:$K$353),"")</f>
        <v>0</v>
      </c>
      <c r="L48" s="130">
        <f>IFERROR(SUMPRODUCT((危旧房屋改造项目分表!$B$6:$B$353=$L$3)*(危旧房屋改造项目分表!$AD$6:AD$353="是")*(危旧房屋改造项目分表!AG$6:$AG$353="否")*(危旧房屋改造项目分表!$O$6:$O$353="加面重建")*(危旧房屋改造项目分表!$V$6:$V$353&gt;=90%)*危旧房屋改造项目分表!$K$6:$K$353),"")</f>
        <v>0</v>
      </c>
      <c r="M48" s="130">
        <f>IFERROR(SUMPRODUCT((危旧房屋改造项目分表!$AG$6:AH$353="是")*(危旧房屋改造项目分表!$AD$6:AD$353="是")*(危旧房屋改造项目分表!$O$6:$O$353="加面重建")*(危旧房屋改造项目分表!$V$6:$V$353&gt;=90%)*危旧房屋改造项目分表!$K$6:$K$353),"")</f>
        <v>0</v>
      </c>
      <c r="N48" s="130">
        <f>SUM($D$48:$M$48)</f>
        <v>0</v>
      </c>
      <c r="O48" s="149" t="str">
        <f>IF(ISERROR(N48/$N$51),"",N48/$N$51)</f>
        <v/>
      </c>
    </row>
    <row r="49" ht="15" customHeight="1" spans="1:15">
      <c r="A49" s="137"/>
      <c r="B49" s="140"/>
      <c r="C49" s="129" t="s">
        <v>19</v>
      </c>
      <c r="D49" s="130">
        <f>IFERROR(SUMPRODUCT((危旧房屋改造项目分表!$B$6:$B$353=$D$3)*(危旧房屋改造项目分表!$AD$6:AD$353="是")*(危旧房屋改造项目分表!AG$6:$AG$353="否")*(危旧房屋改造项目分表!$O$6:$O$353="加面重建")*(危旧房屋改造项目分表!$V$6:$V$353&gt;=90%)*危旧房屋改造项目分表!$L$6:$L$353),"")</f>
        <v>0</v>
      </c>
      <c r="E49" s="130">
        <f>IFERROR(SUMPRODUCT((危旧房屋改造项目分表!$B$6:$B$353=$E$3)*(危旧房屋改造项目分表!$AD$6:AD$353="是")*(危旧房屋改造项目分表!AG$6:$AG$353="否")*(危旧房屋改造项目分表!$O$6:$O$353="加面重建")*(危旧房屋改造项目分表!$V$6:$V$353&gt;=90%)*危旧房屋改造项目分表!$L$6:$L$353),"")</f>
        <v>0</v>
      </c>
      <c r="F49" s="130">
        <f>IFERROR(SUMPRODUCT((危旧房屋改造项目分表!$B$6:$B$353=$F$3)*(危旧房屋改造项目分表!$AD$6:AD$353="是")*(危旧房屋改造项目分表!AG$6:$AG$353="否")*(危旧房屋改造项目分表!$O$6:$O$353="加面重建")*(危旧房屋改造项目分表!$V$6:$V$353&gt;=90%)*危旧房屋改造项目分表!$L$6:$L$353),"")</f>
        <v>0</v>
      </c>
      <c r="G49" s="130">
        <f>IFERROR(SUMPRODUCT((危旧房屋改造项目分表!$B$6:$B$353=$G$3)*(危旧房屋改造项目分表!$AD$6:AD$353="是")*(危旧房屋改造项目分表!AG$6:$AG$353="否")*(危旧房屋改造项目分表!$O$6:$O$353="加面重建")*(危旧房屋改造项目分表!$V$6:$V$353&gt;=90%)*危旧房屋改造项目分表!$L$6:$L$353),"")</f>
        <v>0</v>
      </c>
      <c r="H49" s="130">
        <f>IFERROR(SUMPRODUCT((危旧房屋改造项目分表!$B$6:$B$353=$H$3)*(危旧房屋改造项目分表!$AD$6:AD$353="是")*(危旧房屋改造项目分表!AG$6:$AG$353="否")*(危旧房屋改造项目分表!$O$6:$O$353="加面重建")*(危旧房屋改造项目分表!$V$6:$V$353&gt;=90%)*危旧房屋改造项目分表!$L$6:$L$353),"")</f>
        <v>0</v>
      </c>
      <c r="I49" s="130">
        <f>IFERROR(SUMPRODUCT((危旧房屋改造项目分表!$B$6:$B$353=$I$3)*(危旧房屋改造项目分表!$AD$6:AD$353="是")*(危旧房屋改造项目分表!AG$6:$AG$353="否")*(危旧房屋改造项目分表!$O$6:$O$353="加面重建")*(危旧房屋改造项目分表!$V$6:$V$353&gt;=90%)*危旧房屋改造项目分表!$L$6:$L$353),"")</f>
        <v>0</v>
      </c>
      <c r="J49" s="130">
        <f>IFERROR(SUMPRODUCT((危旧房屋改造项目分表!$B$6:$B$353=$J$3)*(危旧房屋改造项目分表!$AD$6:AD$353="是")*(危旧房屋改造项目分表!AG$6:$AG$353="否")*(危旧房屋改造项目分表!$O$6:$O$353="加面重建")*(危旧房屋改造项目分表!$V$6:$V$353&gt;=90%)*危旧房屋改造项目分表!$L$6:$L$353),"")</f>
        <v>0</v>
      </c>
      <c r="K49" s="130">
        <f>IFERROR(SUMPRODUCT((危旧房屋改造项目分表!$B$6:$B$353=$K$3)*(危旧房屋改造项目分表!$AD$6:AD$353="是")*(危旧房屋改造项目分表!AG$6:$AG$353="否")*(危旧房屋改造项目分表!$O$6:$O$353="加面重建")*(危旧房屋改造项目分表!$V$6:$V$353&gt;=90%)*危旧房屋改造项目分表!$L$6:$L$353),"")</f>
        <v>0</v>
      </c>
      <c r="L49" s="130">
        <f>IFERROR(SUMPRODUCT((危旧房屋改造项目分表!$B$6:$B$353=$L$3)*(危旧房屋改造项目分表!$AD$6:AD$353="是")*(危旧房屋改造项目分表!AG$6:$AG$353="否")*(危旧房屋改造项目分表!$O$6:$O$353="加面重建")*(危旧房屋改造项目分表!$V$6:$V$353&gt;=90%)*危旧房屋改造项目分表!$L$6:$L$353),"")</f>
        <v>0</v>
      </c>
      <c r="M49" s="130">
        <f>IFERROR(SUMPRODUCT((危旧房屋改造项目分表!$AG$6:AH$353="是")*(危旧房屋改造项目分表!$AD$6:AD$353="是")*(危旧房屋改造项目分表!$O$6:$O$353="加面重建")*(危旧房屋改造项目分表!$V$6:$V$353&gt;=90%)*危旧房屋改造项目分表!$L$6:$L$353),"")</f>
        <v>0</v>
      </c>
      <c r="N49" s="130">
        <f>SUM($D$49:$M$49)</f>
        <v>0</v>
      </c>
      <c r="O49" s="149" t="str">
        <f>IF(ISERROR(N49/$N$52),"",N49/$N$52)</f>
        <v/>
      </c>
    </row>
    <row r="50" ht="15" customHeight="1" spans="1:15">
      <c r="A50" s="137"/>
      <c r="B50" s="129" t="s">
        <v>26</v>
      </c>
      <c r="C50" s="129" t="s">
        <v>17</v>
      </c>
      <c r="D50" s="141">
        <f t="shared" ref="D50:M50" si="6">D41+D44+D47+D38</f>
        <v>0</v>
      </c>
      <c r="E50" s="141">
        <f t="shared" si="6"/>
        <v>0</v>
      </c>
      <c r="F50" s="141">
        <f t="shared" si="6"/>
        <v>0</v>
      </c>
      <c r="G50" s="141">
        <f t="shared" si="6"/>
        <v>0</v>
      </c>
      <c r="H50" s="141">
        <f t="shared" si="6"/>
        <v>0</v>
      </c>
      <c r="I50" s="141">
        <f t="shared" si="6"/>
        <v>0</v>
      </c>
      <c r="J50" s="141">
        <f t="shared" si="6"/>
        <v>0</v>
      </c>
      <c r="K50" s="141">
        <f t="shared" si="6"/>
        <v>0</v>
      </c>
      <c r="L50" s="141">
        <f t="shared" si="6"/>
        <v>0</v>
      </c>
      <c r="M50" s="141">
        <f t="shared" si="6"/>
        <v>0</v>
      </c>
      <c r="N50" s="130">
        <f>SUM($D$50:$M$50)</f>
        <v>0</v>
      </c>
      <c r="O50" s="149" t="str">
        <f>IF(ISERROR(N50/$N$4),"",N50/$N$4)</f>
        <v/>
      </c>
    </row>
    <row r="51" ht="15" customHeight="1" spans="1:15">
      <c r="A51" s="137"/>
      <c r="B51" s="129"/>
      <c r="C51" s="129" t="s">
        <v>18</v>
      </c>
      <c r="D51" s="141">
        <f t="shared" ref="D51:M51" si="7">D42+D45+D48+D39</f>
        <v>0</v>
      </c>
      <c r="E51" s="141">
        <f t="shared" si="7"/>
        <v>0</v>
      </c>
      <c r="F51" s="141">
        <f t="shared" si="7"/>
        <v>0</v>
      </c>
      <c r="G51" s="141">
        <f t="shared" si="7"/>
        <v>0</v>
      </c>
      <c r="H51" s="141">
        <f t="shared" si="7"/>
        <v>0</v>
      </c>
      <c r="I51" s="141">
        <f t="shared" si="7"/>
        <v>0</v>
      </c>
      <c r="J51" s="141">
        <f t="shared" si="7"/>
        <v>0</v>
      </c>
      <c r="K51" s="141">
        <f t="shared" si="7"/>
        <v>0</v>
      </c>
      <c r="L51" s="141">
        <f t="shared" si="7"/>
        <v>0</v>
      </c>
      <c r="M51" s="141">
        <f t="shared" si="7"/>
        <v>0</v>
      </c>
      <c r="N51" s="130">
        <f>SUM($D$51:$M$51)</f>
        <v>0</v>
      </c>
      <c r="O51" s="149" t="str">
        <f>IF(ISERROR(N51/$N$5),"",N51/$N$5)</f>
        <v/>
      </c>
    </row>
    <row r="52" ht="15" customHeight="1" spans="1:15">
      <c r="A52" s="142"/>
      <c r="B52" s="129"/>
      <c r="C52" s="129" t="s">
        <v>19</v>
      </c>
      <c r="D52" s="141">
        <f t="shared" ref="D52:M52" si="8">D43+D46+D49+D40</f>
        <v>0</v>
      </c>
      <c r="E52" s="141">
        <f t="shared" si="8"/>
        <v>0</v>
      </c>
      <c r="F52" s="141">
        <f t="shared" si="8"/>
        <v>0</v>
      </c>
      <c r="G52" s="141">
        <f t="shared" si="8"/>
        <v>0</v>
      </c>
      <c r="H52" s="141">
        <f t="shared" si="8"/>
        <v>0</v>
      </c>
      <c r="I52" s="141">
        <f t="shared" si="8"/>
        <v>0</v>
      </c>
      <c r="J52" s="141">
        <f t="shared" si="8"/>
        <v>0</v>
      </c>
      <c r="K52" s="141">
        <f t="shared" si="8"/>
        <v>0</v>
      </c>
      <c r="L52" s="141">
        <f t="shared" si="8"/>
        <v>0</v>
      </c>
      <c r="M52" s="141">
        <f t="shared" si="8"/>
        <v>0</v>
      </c>
      <c r="N52" s="130">
        <f>SUM($D$52:$M$52)</f>
        <v>0</v>
      </c>
      <c r="O52" s="149" t="str">
        <f>IF(ISERROR(N52/$N$6),"",N52/$N$6)</f>
        <v/>
      </c>
    </row>
    <row r="53" ht="15.6" customHeight="1" spans="1:15">
      <c r="A53" s="144" t="s">
        <v>29</v>
      </c>
      <c r="B53" s="140" t="s">
        <v>22</v>
      </c>
      <c r="C53" s="129" t="s">
        <v>17</v>
      </c>
      <c r="D53" s="130">
        <f>IFERROR(SUMPRODUCT((危旧房屋改造项目分表!$B$6:$B$353=$D$3)*(危旧房屋改造项目分表!$AD$6:AD$353="是")*(危旧房屋改造项目分表!AG$6:$AG$353="否")*(危旧房屋改造项目分表!$O$6:$O$353="棚改征收")*(危旧房屋改造项目分表!$V$6:$V$353&lt;=10%)*危旧房屋改造项目分表!$AF$6:$AF$353),"")+SUMPRODUCT((危旧房屋改造项目分表!$B$6:$B$353=$D$3)*(危旧房屋改造项目分表!$AD$6:AD$353="是")*(危旧房屋改造项目分表!AG$6:$AG$353="否")*(危旧房屋改造项目分表!$O$6:$O$353="拆除补偿")*(危旧房屋改造项目分表!$V$6:$V$353&lt;=10%)*危旧房屋改造项目分表!$AF$6:$AF$353)</f>
        <v>0</v>
      </c>
      <c r="E53" s="130">
        <f>IFERROR(SUMPRODUCT((危旧房屋改造项目分表!$B$6:$B$353=$E$3)*(危旧房屋改造项目分表!$AD$6:AD$353="是")*(危旧房屋改造项目分表!AG$6:$AG$353="否")*(危旧房屋改造项目分表!$O$6:$O$353="棚改征收")*(危旧房屋改造项目分表!$V$6:$V$353&lt;=10%)*危旧房屋改造项目分表!$AF$6:$AF$353),"")+SUMPRODUCT((危旧房屋改造项目分表!$B$6:$B$353=$E$3)*(危旧房屋改造项目分表!$AD$6:AD$353="是")*(危旧房屋改造项目分表!AG$6:$AG$353="否")*(危旧房屋改造项目分表!$O$6:$O$353="拆除补偿")*(危旧房屋改造项目分表!$V$6:$V$353&lt;=10%)*危旧房屋改造项目分表!$AF$6:$AF$353)</f>
        <v>0</v>
      </c>
      <c r="F53" s="130">
        <f>IFERROR(SUMPRODUCT((危旧房屋改造项目分表!$B$6:$B$353=$F$3)*(危旧房屋改造项目分表!$AD$6:AD$353="是")*(危旧房屋改造项目分表!AG$6:$AG$353="否")*(危旧房屋改造项目分表!$O$6:$O$353="棚改征收")*(危旧房屋改造项目分表!$V$6:$V$353&lt;=10%)*危旧房屋改造项目分表!$AF$6:$AF$353),"")+SUMPRODUCT((危旧房屋改造项目分表!$B$6:$B$353=$F$3)*(危旧房屋改造项目分表!$AD$6:AD$353="是")*(危旧房屋改造项目分表!AG$6:$AG$353="否")*(危旧房屋改造项目分表!$O$6:$O$353="拆除补偿")*(危旧房屋改造项目分表!$V$6:$V$353&lt;=10%)*危旧房屋改造项目分表!$AF$6:$AF$353)</f>
        <v>0</v>
      </c>
      <c r="G53" s="130">
        <f>IFERROR(SUMPRODUCT((危旧房屋改造项目分表!$B$6:$B$353=$G$3)*(危旧房屋改造项目分表!$AD$6:AD$353="是")*(危旧房屋改造项目分表!AG$6:$AG$353="否")*(危旧房屋改造项目分表!$O$6:$O$353="棚改征收")*(危旧房屋改造项目分表!$V$6:$V$353&lt;=10%)*危旧房屋改造项目分表!$AF$6:$AF$353),"")+SUMPRODUCT((危旧房屋改造项目分表!$B$6:$B$353=$G$3)*(危旧房屋改造项目分表!$AD$6:AD$353="是")*(危旧房屋改造项目分表!AG$6:$AG$353="否")*(危旧房屋改造项目分表!$O$6:$O$353="拆除补偿")*(危旧房屋改造项目分表!$V$6:$V$353&lt;=10%)*危旧房屋改造项目分表!$AF$6:$AF$353)</f>
        <v>0</v>
      </c>
      <c r="H53" s="130">
        <f>IFERROR(SUMPRODUCT((危旧房屋改造项目分表!$B$6:$B$353=$H$3)*(危旧房屋改造项目分表!$AD$6:AD$353="是")*(危旧房屋改造项目分表!AG$6:$AG$353="否")*(危旧房屋改造项目分表!$O$6:$O$353="棚改征收")*(危旧房屋改造项目分表!$V$6:$V$353&lt;=10%)*危旧房屋改造项目分表!$AF$6:$AF$353),"")+SUMPRODUCT((危旧房屋改造项目分表!$B$6:$B$353=$H$3)*(危旧房屋改造项目分表!$AD$6:AD$353="是")*(危旧房屋改造项目分表!AG$6:$AG$353="否")*(危旧房屋改造项目分表!$O$6:$O$353="拆除补偿")*(危旧房屋改造项目分表!$V$6:$V$353&lt;=10%)*危旧房屋改造项目分表!$AF$6:$AF$353)</f>
        <v>0</v>
      </c>
      <c r="I53" s="130">
        <f>IFERROR(SUMPRODUCT((危旧房屋改造项目分表!$B$6:$B$353=$I$3)*(危旧房屋改造项目分表!$AD$6:AD$353="是")*(危旧房屋改造项目分表!AG$6:$AG$353="否")*(危旧房屋改造项目分表!$O$6:$O$353="棚改征收")*(危旧房屋改造项目分表!$V$6:$V$353&lt;=10%)*危旧房屋改造项目分表!$AF$6:$AF$353),"")+SUMPRODUCT((危旧房屋改造项目分表!$B$6:$B$353=$I$3)*(危旧房屋改造项目分表!$AD$6:AD$353="是")*(危旧房屋改造项目分表!AG$6:$AG$353="否")*(危旧房屋改造项目分表!$O$6:$O$353="拆除补偿")*(危旧房屋改造项目分表!$V$6:$V$353&lt;=10%)*危旧房屋改造项目分表!$AF$6:$AF$353)</f>
        <v>0</v>
      </c>
      <c r="J53" s="130">
        <f>IFERROR(SUMPRODUCT((危旧房屋改造项目分表!$B$6:$B$353=$J$3)*(危旧房屋改造项目分表!$AD$6:AD$353="是")*(危旧房屋改造项目分表!AG$6:$AG$353="否")*(危旧房屋改造项目分表!$O$6:$O$353="棚改征收")*(危旧房屋改造项目分表!$V$6:$V$353&lt;=10%)*危旧房屋改造项目分表!$AF$6:$AF$353),"")+SUMPRODUCT((危旧房屋改造项目分表!$B$6:$B$353=$J$3)*(危旧房屋改造项目分表!$AD$6:AD$353="是")*(危旧房屋改造项目分表!AG$6:$AG$353="否")*(危旧房屋改造项目分表!$O$6:$O$353="拆除补偿")*(危旧房屋改造项目分表!$V$6:$V$353&lt;=10%)*危旧房屋改造项目分表!$AF$6:$AF$353)</f>
        <v>0</v>
      </c>
      <c r="K53" s="130">
        <f>IFERROR(SUMPRODUCT((危旧房屋改造项目分表!$B$6:$B$353=$K$3)*(危旧房屋改造项目分表!$AD$6:AD$353="是")*(危旧房屋改造项目分表!AG$6:$AG$353="否")*(危旧房屋改造项目分表!$O$6:$O$353="棚改征收")*(危旧房屋改造项目分表!$V$6:$V$353&lt;=10%)*危旧房屋改造项目分表!$AF$6:$AF$353),"")+SUMPRODUCT((危旧房屋改造项目分表!$B$6:$B$353=$K$3)*(危旧房屋改造项目分表!$AD$6:AD$353="是")*(危旧房屋改造项目分表!AG$6:$AG$353="否")*(危旧房屋改造项目分表!$O$6:$O$353="拆除补偿")*(危旧房屋改造项目分表!$V$6:$V$353&lt;=10%)*危旧房屋改造项目分表!$AF$6:$AF$353)</f>
        <v>0</v>
      </c>
      <c r="L53" s="130">
        <f>IFERROR(SUMPRODUCT((危旧房屋改造项目分表!$B$6:$B$353=$L$3)*(危旧房屋改造项目分表!$AD$6:AD$353="是")*(危旧房屋改造项目分表!AG$6:$AG$353="否")*(危旧房屋改造项目分表!$O$6:$O$353="棚改征收")*(危旧房屋改造项目分表!$V$6:$V$353&lt;=10%)*危旧房屋改造项目分表!$AF$6:$AF$353),"")+SUMPRODUCT((危旧房屋改造项目分表!$B$6:$B$353=$L$3)*(危旧房屋改造项目分表!$AD$6:AD$353="是")*(危旧房屋改造项目分表!AG$6:$AG$353="否")*(危旧房屋改造项目分表!$O$6:$O$353="拆除补偿")*(危旧房屋改造项目分表!$V$6:$V$353&lt;=10%)*危旧房屋改造项目分表!$AF$6:$AF$353)</f>
        <v>0</v>
      </c>
      <c r="M53" s="130">
        <f>IFERROR(SUMPRODUCT((危旧房屋改造项目分表!$AG$6:AH$353="是")*(危旧房屋改造项目分表!$AD$6:AD$353="是")*(危旧房屋改造项目分表!$O$6:$O$353="棚改征收")*(危旧房屋改造项目分表!$V$6:$V$353&lt;=10%)*危旧房屋改造项目分表!$AF$6:$AF$353),"")+SUMPRODUCT((危旧房屋改造项目分表!$AG$6:AH$353="是")*(危旧房屋改造项目分表!$AD$6:AD$353="是")*(危旧房屋改造项目分表!$O$6:$O$353="拆除补偿")*(危旧房屋改造项目分表!$V$6:$V$353&lt;=10%)*危旧房屋改造项目分表!$AF$6:$AF$353)</f>
        <v>0</v>
      </c>
      <c r="N53" s="130">
        <f>SUM($D$53:$M$53)</f>
        <v>0</v>
      </c>
      <c r="O53" s="149" t="str">
        <f>IF(ISERROR(N53/$N$65),"",N53/$N$65)</f>
        <v/>
      </c>
    </row>
    <row r="54" ht="15.6" customHeight="1" spans="1:15">
      <c r="A54" s="145"/>
      <c r="B54" s="140"/>
      <c r="C54" s="129" t="s">
        <v>18</v>
      </c>
      <c r="D54" s="130">
        <f>IFERROR(SUMPRODUCT((危旧房屋改造项目分表!$B$6:$B$353=$D$3)*(危旧房屋改造项目分表!$AD$6:AD$353="是")*(危旧房屋改造项目分表!AG$6:$AG$353="否")*(危旧房屋改造项目分表!$O$6:$O$353="棚改征收")*(危旧房屋改造项目分表!$V$6:$V$353&lt;=10%)*危旧房屋改造项目分表!$K$6:$K$353),"")+SUMPRODUCT((危旧房屋改造项目分表!$B$6:$B$353=$D$3)*(危旧房屋改造项目分表!$AD$6:AD$353="是")*(危旧房屋改造项目分表!AG$6:$AG$353="否")*(危旧房屋改造项目分表!$O$6:$O$353="拆除补偿")*(危旧房屋改造项目分表!$V$6:$V$353&lt;=10%)*危旧房屋改造项目分表!$K$6:$K$353)</f>
        <v>0</v>
      </c>
      <c r="E54" s="130">
        <f>IFERROR(SUMPRODUCT((危旧房屋改造项目分表!$B$6:$B$353=$E$3)*(危旧房屋改造项目分表!$AD$6:AD$353="是")*(危旧房屋改造项目分表!AG$6:$AG$353="否")*(危旧房屋改造项目分表!$O$6:$O$353="棚改征收")*(危旧房屋改造项目分表!$V$6:$V$353&lt;=10%)*危旧房屋改造项目分表!$K$6:$K$353),"")+SUMPRODUCT((危旧房屋改造项目分表!$B$6:$B$353=$E$3)*(危旧房屋改造项目分表!$AD$6:AD$353="是")*(危旧房屋改造项目分表!AG$6:$AG$353="否")*(危旧房屋改造项目分表!$O$6:$O$353="拆除补偿")*(危旧房屋改造项目分表!$V$6:$V$353&lt;=10%)*危旧房屋改造项目分表!$K$6:$K$353)</f>
        <v>0</v>
      </c>
      <c r="F54" s="130">
        <f>IFERROR(SUMPRODUCT((危旧房屋改造项目分表!$B$6:$B$353=$F$3)*(危旧房屋改造项目分表!$AD$6:AD$353="是")*(危旧房屋改造项目分表!AG$6:$AG$353="否")*(危旧房屋改造项目分表!$O$6:$O$353="棚改征收")*(危旧房屋改造项目分表!$V$6:$V$353&lt;=10%)*危旧房屋改造项目分表!$K$6:$K$353),"")+SUMPRODUCT((危旧房屋改造项目分表!$B$6:$B$353=$F$3)*(危旧房屋改造项目分表!$AD$6:AD$353="是")*(危旧房屋改造项目分表!AG$6:$AG$353="否")*(危旧房屋改造项目分表!$O$6:$O$353="拆除补偿")*(危旧房屋改造项目分表!$V$6:$V$353&lt;=10%)*危旧房屋改造项目分表!$K$6:$K$353)</f>
        <v>0</v>
      </c>
      <c r="G54" s="130">
        <f>IFERROR(SUMPRODUCT((危旧房屋改造项目分表!$B$6:$B$353=$G$3)*(危旧房屋改造项目分表!$AD$6:AD$353="是")*(危旧房屋改造项目分表!AG$6:$AG$353="否")*(危旧房屋改造项目分表!$O$6:$O$353="棚改征收")*(危旧房屋改造项目分表!$V$6:$V$353&lt;=10%)*危旧房屋改造项目分表!$K$6:$K$353),"")+SUMPRODUCT((危旧房屋改造项目分表!$B$6:$B$353=$G$3)*(危旧房屋改造项目分表!$AD$6:AD$353="是")*(危旧房屋改造项目分表!AG$6:$AG$353="否")*(危旧房屋改造项目分表!$O$6:$O$353="拆除补偿")*(危旧房屋改造项目分表!$V$6:$V$353&lt;=10%)*危旧房屋改造项目分表!$K$6:$K$353)</f>
        <v>0</v>
      </c>
      <c r="H54" s="130">
        <f>IFERROR(SUMPRODUCT((危旧房屋改造项目分表!$B$6:$B$353=$H$3)*(危旧房屋改造项目分表!$AD$6:AD$353="是")*(危旧房屋改造项目分表!AG$6:$AG$353="否")*(危旧房屋改造项目分表!$O$6:$O$353="棚改征收")*(危旧房屋改造项目分表!$V$6:$V$353&lt;=10%)*危旧房屋改造项目分表!$K$6:$K$353),"")+SUMPRODUCT((危旧房屋改造项目分表!$B$6:$B$353=$H$3)*(危旧房屋改造项目分表!$AD$6:AD$353="是")*(危旧房屋改造项目分表!AG$6:$AG$353="否")*(危旧房屋改造项目分表!$O$6:$O$353="拆除补偿")*(危旧房屋改造项目分表!$V$6:$V$353&lt;=10%)*危旧房屋改造项目分表!$K$6:$K$353)</f>
        <v>0</v>
      </c>
      <c r="I54" s="130">
        <f>IFERROR(SUMPRODUCT((危旧房屋改造项目分表!$B$6:$B$353=$I$3)*(危旧房屋改造项目分表!$AD$6:AD$353="是")*(危旧房屋改造项目分表!AG$6:$AG$353="否")*(危旧房屋改造项目分表!$O$6:$O$353="棚改征收")*(危旧房屋改造项目分表!$V$6:$V$353&lt;=10%)*危旧房屋改造项目分表!$K$6:$K$353),"")+SUMPRODUCT((危旧房屋改造项目分表!$B$6:$B$353=$I$3)*(危旧房屋改造项目分表!$AD$6:AD$353="是")*(危旧房屋改造项目分表!AG$6:$AG$353="否")*(危旧房屋改造项目分表!$O$6:$O$353="拆除补偿")*(危旧房屋改造项目分表!$V$6:$V$353&lt;=10%)*危旧房屋改造项目分表!$K$6:$K$353)</f>
        <v>0</v>
      </c>
      <c r="J54" s="130">
        <f>IFERROR(SUMPRODUCT((危旧房屋改造项目分表!$B$6:$B$353=$J$3)*(危旧房屋改造项目分表!$AD$6:AD$353="是")*(危旧房屋改造项目分表!AG$6:$AG$353="否")*(危旧房屋改造项目分表!$O$6:$O$353="棚改征收")*(危旧房屋改造项目分表!$V$6:$V$353&lt;=10%)*危旧房屋改造项目分表!$K$6:$K$353),"")+SUMPRODUCT((危旧房屋改造项目分表!$B$6:$B$353=$J$3)*(危旧房屋改造项目分表!$AD$6:AD$353="是")*(危旧房屋改造项目分表!AG$6:$AG$353="否")*(危旧房屋改造项目分表!$O$6:$O$353="拆除补偿")*(危旧房屋改造项目分表!$V$6:$V$353&lt;=10%)*危旧房屋改造项目分表!$K$6:$K$353)</f>
        <v>0</v>
      </c>
      <c r="K54" s="130">
        <f>IFERROR(SUMPRODUCT((危旧房屋改造项目分表!$B$6:$B$353=$K$3)*(危旧房屋改造项目分表!$AD$6:AD$353="是")*(危旧房屋改造项目分表!AG$6:$AG$353="否")*(危旧房屋改造项目分表!$O$6:$O$353="棚改征收")*(危旧房屋改造项目分表!$V$6:$V$353&lt;=10%)*危旧房屋改造项目分表!$K$6:$K$353),"")+SUMPRODUCT((危旧房屋改造项目分表!$B$6:$B$353=$K$3)*(危旧房屋改造项目分表!$AD$6:AD$353="是")*(危旧房屋改造项目分表!AG$6:$AG$353="否")*(危旧房屋改造项目分表!$O$6:$O$353="拆除补偿")*(危旧房屋改造项目分表!$V$6:$V$353&lt;=10%)*危旧房屋改造项目分表!$K$6:$K$353)</f>
        <v>0</v>
      </c>
      <c r="L54" s="130">
        <f>IFERROR(SUMPRODUCT((危旧房屋改造项目分表!$B$6:$B$353=$L$3)*(危旧房屋改造项目分表!$AD$6:AD$353="是")*(危旧房屋改造项目分表!AG$6:$AG$353="否")*(危旧房屋改造项目分表!$O$6:$O$353="棚改征收")*(危旧房屋改造项目分表!$V$6:$V$353&lt;=10%)*危旧房屋改造项目分表!$K$6:$K$353),"")+SUMPRODUCT((危旧房屋改造项目分表!$B$6:$B$353=$L$3)*(危旧房屋改造项目分表!$AD$6:AD$353="是")*(危旧房屋改造项目分表!AG$6:$AG$353="否")*(危旧房屋改造项目分表!$O$6:$O$353="拆除补偿")*(危旧房屋改造项目分表!$V$6:$V$353&lt;=10%)*危旧房屋改造项目分表!$K$6:$K$353)</f>
        <v>0</v>
      </c>
      <c r="M54" s="130">
        <f>IFERROR(SUMPRODUCT((危旧房屋改造项目分表!$AG$6:AH$353="是")*(危旧房屋改造项目分表!$AD$6:AD$353="是")*(危旧房屋改造项目分表!$O$6:$O$353="棚改征收")*(危旧房屋改造项目分表!$V$6:$V$353&lt;=10%)*危旧房屋改造项目分表!$K$6:$K$353),"")+SUMPRODUCT((危旧房屋改造项目分表!$AG$6:AH$353="是")*(危旧房屋改造项目分表!$AD$6:AD$353="是")*(危旧房屋改造项目分表!$O$6:$O$353="拆除补偿")*(危旧房屋改造项目分表!$V$6:$V$353&lt;=10%)*危旧房屋改造项目分表!$K$6:$K$353)</f>
        <v>0</v>
      </c>
      <c r="N54" s="130">
        <f>SUM($D$54:$M$54)</f>
        <v>0</v>
      </c>
      <c r="O54" s="149" t="str">
        <f>IF(ISERROR(N54/$N$66),"",N54/$N$66)</f>
        <v/>
      </c>
    </row>
    <row r="55" ht="15.6" customHeight="1" spans="1:15">
      <c r="A55" s="145"/>
      <c r="B55" s="140"/>
      <c r="C55" s="129" t="s">
        <v>19</v>
      </c>
      <c r="D55" s="130">
        <f>IFERROR(SUMPRODUCT((危旧房屋改造项目分表!$B$6:$B$353=$D$3)*(危旧房屋改造项目分表!$AD$6:AD$353="是")*(危旧房屋改造项目分表!AG$6:$AG$353="否")*(危旧房屋改造项目分表!$O$6:$O$353="棚改征收")*(危旧房屋改造项目分表!$V$6:$V$353&lt;=10%)*危旧房屋改造项目分表!$L$6:$L$353),"")+SUMPRODUCT((危旧房屋改造项目分表!$B$6:$B$353=$D$3)*(危旧房屋改造项目分表!$AD$6:AD$353="是")*(危旧房屋改造项目分表!AG$6:$AG$353="否")*(危旧房屋改造项目分表!$O$6:$O$353="拆除补偿")*(危旧房屋改造项目分表!$V$6:$V$353&lt;=10%)*危旧房屋改造项目分表!$L$6:$L$353)</f>
        <v>0</v>
      </c>
      <c r="E55" s="130">
        <f>IFERROR(SUMPRODUCT((危旧房屋改造项目分表!$B$6:$B$353=$E$3)*(危旧房屋改造项目分表!$AD$6:AD$353="是")*(危旧房屋改造项目分表!AG$6:$AG$353="否")*(危旧房屋改造项目分表!$O$6:$O$353="棚改征收")*(危旧房屋改造项目分表!$V$6:$V$353&lt;=10%)*危旧房屋改造项目分表!$L$6:$L$353),"")+SUMPRODUCT((危旧房屋改造项目分表!$B$6:$B$353=$E$3)*(危旧房屋改造项目分表!$AD$6:AD$353="是")*(危旧房屋改造项目分表!AG$6:$AG$353="否")*(危旧房屋改造项目分表!$O$6:$O$353="拆除补偿")*(危旧房屋改造项目分表!$V$6:$V$353&lt;=10%)*危旧房屋改造项目分表!$L$6:$L$353)</f>
        <v>0</v>
      </c>
      <c r="F55" s="130">
        <f>IFERROR(SUMPRODUCT((危旧房屋改造项目分表!$B$6:$B$353=$F$3)*(危旧房屋改造项目分表!$AD$6:AD$353="是")*(危旧房屋改造项目分表!AG$6:$AG$353="否")*(危旧房屋改造项目分表!$O$6:$O$353="棚改征收")*(危旧房屋改造项目分表!$V$6:$V$353&lt;=10%)*危旧房屋改造项目分表!$L$6:$L$353),"")+SUMPRODUCT((危旧房屋改造项目分表!$B$6:$B$353=$F$3)*(危旧房屋改造项目分表!$AD$6:AD$353="是")*(危旧房屋改造项目分表!AG$6:$AG$353="否")*(危旧房屋改造项目分表!$O$6:$O$353="拆除补偿")*(危旧房屋改造项目分表!$V$6:$V$353&lt;=10%)*危旧房屋改造项目分表!$L$6:$L$353)</f>
        <v>0</v>
      </c>
      <c r="G55" s="130">
        <f>IFERROR(SUMPRODUCT((危旧房屋改造项目分表!$B$6:$B$353=$G$3)*(危旧房屋改造项目分表!$AD$6:AD$353="是")*(危旧房屋改造项目分表!AG$6:$AG$353="否")*(危旧房屋改造项目分表!$O$6:$O$353="棚改征收")*(危旧房屋改造项目分表!$V$6:$V$353&lt;=10%)*危旧房屋改造项目分表!$L$6:$L$353),"")+SUMPRODUCT((危旧房屋改造项目分表!$B$6:$B$353=$G$3)*(危旧房屋改造项目分表!$AD$6:AD$353="是")*(危旧房屋改造项目分表!AG$6:$AG$353="否")*(危旧房屋改造项目分表!$O$6:$O$353="拆除补偿")*(危旧房屋改造项目分表!$V$6:$V$353&lt;=10%)*危旧房屋改造项目分表!$L$6:$L$353)</f>
        <v>0</v>
      </c>
      <c r="H55" s="130">
        <f>IFERROR(SUMPRODUCT((危旧房屋改造项目分表!$B$6:$B$353=$H$3)*(危旧房屋改造项目分表!$AD$6:AD$353="是")*(危旧房屋改造项目分表!AG$6:$AG$353="否")*(危旧房屋改造项目分表!$O$6:$O$353="棚改征收")*(危旧房屋改造项目分表!$V$6:$V$353&lt;=10%)*危旧房屋改造项目分表!$L$6:$L$353),"")+SUMPRODUCT((危旧房屋改造项目分表!$B$6:$B$353=$H$3)*(危旧房屋改造项目分表!$AD$6:AD$353="是")*(危旧房屋改造项目分表!AG$6:$AG$353="否")*(危旧房屋改造项目分表!$O$6:$O$353="拆除补偿")*(危旧房屋改造项目分表!$V$6:$V$353&lt;=10%)*危旧房屋改造项目分表!$L$6:$L$353)</f>
        <v>0</v>
      </c>
      <c r="I55" s="130">
        <f>IFERROR(SUMPRODUCT((危旧房屋改造项目分表!$B$6:$B$353=$I$3)*(危旧房屋改造项目分表!$AD$6:AD$353="是")*(危旧房屋改造项目分表!AG$6:$AG$353="否")*(危旧房屋改造项目分表!$O$6:$O$353="棚改征收")*(危旧房屋改造项目分表!$V$6:$V$353&lt;=10%)*危旧房屋改造项目分表!$L$6:$L$353),"")+SUMPRODUCT((危旧房屋改造项目分表!$B$6:$B$353=$I$3)*(危旧房屋改造项目分表!$AD$6:AD$353="是")*(危旧房屋改造项目分表!AG$6:$AG$353="否")*(危旧房屋改造项目分表!$O$6:$O$353="拆除补偿")*(危旧房屋改造项目分表!$V$6:$V$353&lt;=10%)*危旧房屋改造项目分表!$L$6:$L$353)</f>
        <v>0</v>
      </c>
      <c r="J55" s="130">
        <f>IFERROR(SUMPRODUCT((危旧房屋改造项目分表!$B$6:$B$353=$J$3)*(危旧房屋改造项目分表!$AD$6:AD$353="是")*(危旧房屋改造项目分表!AG$6:$AG$353="否")*(危旧房屋改造项目分表!$O$6:$O$353="棚改征收")*(危旧房屋改造项目分表!$V$6:$V$353&lt;=10%)*危旧房屋改造项目分表!$L$6:$L$353),"")+SUMPRODUCT((危旧房屋改造项目分表!$B$6:$B$353=$J$3)*(危旧房屋改造项目分表!$AD$6:AD$353="是")*(危旧房屋改造项目分表!AG$6:$AG$353="否")*(危旧房屋改造项目分表!$O$6:$O$353="拆除补偿")*(危旧房屋改造项目分表!$V$6:$V$353&lt;=10%)*危旧房屋改造项目分表!$L$6:$L$353)</f>
        <v>0</v>
      </c>
      <c r="K55" s="130">
        <f>IFERROR(SUMPRODUCT((危旧房屋改造项目分表!$B$6:$B$353=$K$3)*(危旧房屋改造项目分表!$AD$6:AD$353="是")*(危旧房屋改造项目分表!AG$6:$AG$353="否")*(危旧房屋改造项目分表!$O$6:$O$353="棚改征收")*(危旧房屋改造项目分表!$V$6:$V$353&lt;=10%)*危旧房屋改造项目分表!$L$6:$L$353),"")+SUMPRODUCT((危旧房屋改造项目分表!$B$6:$B$353=$K$3)*(危旧房屋改造项目分表!$AD$6:AD$353="是")*(危旧房屋改造项目分表!AG$6:$AG$353="否")*(危旧房屋改造项目分表!$O$6:$O$353="拆除补偿")*(危旧房屋改造项目分表!$V$6:$V$353&lt;=10%)*危旧房屋改造项目分表!$L$6:$L$353)</f>
        <v>0</v>
      </c>
      <c r="L55" s="130">
        <f>IFERROR(SUMPRODUCT((危旧房屋改造项目分表!$B$6:$B$353=$L$3)*(危旧房屋改造项目分表!$AD$6:AD$353="是")*(危旧房屋改造项目分表!AG$6:$AG$353="否")*(危旧房屋改造项目分表!$O$6:$O$353="棚改征收")*(危旧房屋改造项目分表!$V$6:$V$353&lt;=10%)*危旧房屋改造项目分表!$L$6:$L$353),"")+SUMPRODUCT((危旧房屋改造项目分表!$B$6:$B$353=$L$3)*(危旧房屋改造项目分表!$AD$6:AD$353="是")*(危旧房屋改造项目分表!AG$6:$AG$353="否")*(危旧房屋改造项目分表!$O$6:$O$353="拆除补偿")*(危旧房屋改造项目分表!$V$6:$V$353&lt;=10%)*危旧房屋改造项目分表!$L$6:$L$353)</f>
        <v>0</v>
      </c>
      <c r="M55" s="130">
        <f>IFERROR(SUMPRODUCT((危旧房屋改造项目分表!$AG$6:AH$353="是")*(危旧房屋改造项目分表!$AD$6:AD$353="是")*(危旧房屋改造项目分表!$O$6:$O$353="棚改征收")*(危旧房屋改造项目分表!$V$6:$V$353&lt;=10%)*危旧房屋改造项目分表!$L$6:$L$353),"")+SUMPRODUCT((危旧房屋改造项目分表!$AG$6:AH$353="是")*(危旧房屋改造项目分表!$AD$6:AD$353="是")*(危旧房屋改造项目分表!$O$6:$O$353="拆除补偿")*(危旧房屋改造项目分表!$V$6:$V$353&lt;=10%)*危旧房屋改造项目分表!$L$6:$L$353)</f>
        <v>0</v>
      </c>
      <c r="N55" s="130">
        <f>SUM($D$55:$M$55)</f>
        <v>0</v>
      </c>
      <c r="O55" s="149" t="str">
        <f>IF(ISERROR(N55/$N$67),"",N55/$N$67)</f>
        <v/>
      </c>
    </row>
    <row r="56" ht="15.6" customHeight="1" spans="1:15">
      <c r="A56" s="145"/>
      <c r="B56" s="129" t="s">
        <v>30</v>
      </c>
      <c r="C56" s="129" t="s">
        <v>17</v>
      </c>
      <c r="D56" s="130">
        <f>IFERROR(SUMPRODUCT((危旧房屋改造项目分表!$B$6:$B$353=$D$3)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D$3)*(危旧房屋改造项目分表!$AD$6:AD$353="是")*(危旧房屋改造项目分表!AG$6:$AG$353="否")*(危旧房屋改造项目分表!$O$6:$O$353="拆除补偿")*(危旧房屋改造项目分表!$V$6:$V$353&gt;=11%)*(危旧房屋改造项目分表!$V$6:$V$353&lt;=60%)*危旧房屋改造项目分表!$AF$6:$AF$353)</f>
        <v>0</v>
      </c>
      <c r="E56" s="130">
        <f>IFERROR(SUMPRODUCT((危旧房屋改造项目分表!$B$6:$B$353=$E$3)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E$3)*(危旧房屋改造项目分表!$AD$6:AD$353="是")*(危旧房屋改造项目分表!AG$6:$AG$353="否")*(危旧房屋改造项目分表!$O$6:$O$353="拆除补偿")*(危旧房屋改造项目分表!$V$6:$V$353&gt;=11%)*(危旧房屋改造项目分表!$V$6:$V$353&lt;=60%)*危旧房屋改造项目分表!$AF$6:$AF$353)</f>
        <v>0</v>
      </c>
      <c r="F56" s="130">
        <f>IFERROR(SUMPRODUCT((危旧房屋改造项目分表!$B$6:$B$353=$F$3)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F$3)*(危旧房屋改造项目分表!$AD$6:AD$353="是")*(危旧房屋改造项目分表!AG$6:$AG$353="否")*(危旧房屋改造项目分表!$O$6:$O$353="拆除补偿")*(危旧房屋改造项目分表!$V$6:$V$353&gt;=11%)*(危旧房屋改造项目分表!$V$6:$V$353&lt;=60%)*危旧房屋改造项目分表!$AF$6:$AF$353)</f>
        <v>0</v>
      </c>
      <c r="G56" s="130">
        <f>IFERROR(SUMPRODUCT((危旧房屋改造项目分表!$B$6:$B$353=$G$3)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G$3)*(危旧房屋改造项目分表!$AD$6:AD$353="是")*(危旧房屋改造项目分表!AG$6:$AG$353="否")*(危旧房屋改造项目分表!$O$6:$O$353="拆除补偿")*(危旧房屋改造项目分表!$V$6:$V$353&gt;=11%)*(危旧房屋改造项目分表!$V$6:$V$353&lt;=60%)*危旧房屋改造项目分表!$AF$6:$AF$353)</f>
        <v>0</v>
      </c>
      <c r="H56" s="130">
        <f>IFERROR(SUMPRODUCT((危旧房屋改造项目分表!$B$6:$B$353=$H$3)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H$3)*(危旧房屋改造项目分表!$AD$6:AD$353="是")*(危旧房屋改造项目分表!AG$6:$AG$353="否")*(危旧房屋改造项目分表!$O$6:$O$353="拆除补偿")*(危旧房屋改造项目分表!$V$6:$V$353&gt;=11%)*(危旧房屋改造项目分表!$V$6:$V$353&lt;=60%)*危旧房屋改造项目分表!$AF$6:$AF$353)</f>
        <v>0</v>
      </c>
      <c r="I56" s="130">
        <f>IFERROR(SUMPRODUCT((危旧房屋改造项目分表!$B$6:$B$353=$I$3)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I$3)*(危旧房屋改造项目分表!$AD$6:AD$353="是")*(危旧房屋改造项目分表!AG$6:$AG$353="否")*(危旧房屋改造项目分表!$O$6:$O$353="拆除补偿")*(危旧房屋改造项目分表!$V$6:$V$353&gt;=11%)*(危旧房屋改造项目分表!$V$6:$V$353&lt;=60%)*危旧房屋改造项目分表!$AF$6:$AF$353)</f>
        <v>0</v>
      </c>
      <c r="J56" s="130">
        <f>IFERROR(SUMPRODUCT((危旧房屋改造项目分表!$B$6:$B$353=$J$3)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J$3)*(危旧房屋改造项目分表!$AD$6:AD$353="是")*(危旧房屋改造项目分表!AG$6:$AG$353="否")*(危旧房屋改造项目分表!$O$6:$O$353="拆除补偿")*(危旧房屋改造项目分表!$V$6:$V$353&gt;=11%)*(危旧房屋改造项目分表!$V$6:$V$353&lt;=60%)*危旧房屋改造项目分表!$AF$6:$AF$353)</f>
        <v>0</v>
      </c>
      <c r="K56" s="130">
        <f>IFERROR(SUMPRODUCT((危旧房屋改造项目分表!$B$6:$B$353=$K$3)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K$3)*(危旧房屋改造项目分表!$AD$6:AD$353="是")*(危旧房屋改造项目分表!AG$6:$AG$353="否")*(危旧房屋改造项目分表!$O$6:$O$353="拆除补偿")*(危旧房屋改造项目分表!$V$6:$V$353&gt;=11%)*(危旧房屋改造项目分表!$V$6:$V$353&lt;=60%)*危旧房屋改造项目分表!$AF$6:$AF$353)</f>
        <v>0</v>
      </c>
      <c r="L56" s="130">
        <f>IFERROR(SUMPRODUCT((危旧房屋改造项目分表!$B$6:$B$353=$L$3)*(危旧房屋改造项目分表!$AD$6:AD$353="是")*(危旧房屋改造项目分表!AG$6:$AG$353="否")*(危旧房屋改造项目分表!$O$6:$O$353="棚改征收")*(危旧房屋改造项目分表!$V$6:$V$353&gt;=11%)*(危旧房屋改造项目分表!$V$6:$V$353&lt;=60%)*危旧房屋改造项目分表!$AF$6:$AF$353),"")+SUMPRODUCT((危旧房屋改造项目分表!$B$6:$B$353=$L$3)*(危旧房屋改造项目分表!$AD$6:AD$353="是")*(危旧房屋改造项目分表!AG$6:$AG$353="否")*(危旧房屋改造项目分表!$O$6:$O$353="拆除补偿")*(危旧房屋改造项目分表!$V$6:$V$353&gt;=11%)*(危旧房屋改造项目分表!$V$6:$V$353&lt;=60%)*危旧房屋改造项目分表!$AF$6:$AF$353)</f>
        <v>0</v>
      </c>
      <c r="M56" s="130">
        <f>IFERROR(SUMPRODUCT((危旧房屋改造项目分表!$AG$6:AH$353="是")*(危旧房屋改造项目分表!$AD$6:AD$353="是")*(危旧房屋改造项目分表!$O$6:$O$353="棚改征收")*(危旧房屋改造项目分表!$V$6:$V$353&gt;=11%)*(危旧房屋改造项目分表!$V$6:$V$353&lt;=60%)*危旧房屋改造项目分表!$AF$6:$AF$353),"")+SUMPRODUCT((危旧房屋改造项目分表!$AG$6:AH$353="是")*(危旧房屋改造项目分表!$AD$6:AD$353="是")*(危旧房屋改造项目分表!$O$6:$O$353="拆除补偿")*(危旧房屋改造项目分表!$V$6:$V$353&gt;=11%)*(危旧房屋改造项目分表!$V$6:$V$353&lt;=60%)*危旧房屋改造项目分表!$AF$6:$AF$353)</f>
        <v>0</v>
      </c>
      <c r="N56" s="130">
        <f>SUM($D$56:$M$56)</f>
        <v>0</v>
      </c>
      <c r="O56" s="149" t="str">
        <f>IF(ISERROR(N56/$N$65),"",N56/$N$65)</f>
        <v/>
      </c>
    </row>
    <row r="57" ht="15.6" customHeight="1" spans="1:15">
      <c r="A57" s="145"/>
      <c r="B57" s="129"/>
      <c r="C57" s="129" t="s">
        <v>18</v>
      </c>
      <c r="D57" s="130">
        <f>IFERROR(SUMPRODUCT((危旧房屋改造项目分表!$B$6:$B$353=$D$3)*(危旧房屋改造项目分表!$AD$6:AD$353="是")*(危旧房屋改造项目分表!AG$6:$AG$353="否")*(危旧房屋改造项目分表!$O$6:$O$353="棚改征收")*(危旧房屋改造项目分表!$V$6:$V$353&gt;=11%)*(危旧房屋改造项目分表!$V$6:$V$353&lt;=60%)*危旧房屋改造项目分表!$K$6:$K$353),"")+SUMPRODUCT((危旧房屋改造项目分表!$B$6:$B$353=$D$3)*(危旧房屋改造项目分表!$AD$6:AD$353="是")*(危旧房屋改造项目分表!AG$6:$AG$353="否")*(危旧房屋改造项目分表!$O$6:$O$353="拆除补偿")*(危旧房屋改造项目分表!$V$6:$V$353&gt;=11%)*(危旧房屋改造项目分表!$V$6:$V$353&lt;=60%)*危旧房屋改造项目分表!$K$6:$K$353)</f>
        <v>0</v>
      </c>
      <c r="E57" s="130">
        <f>IFERROR(SUMPRODUCT((危旧房屋改造项目分表!$B$6:$B$353=$E$3)*(危旧房屋改造项目分表!$AD$6:AD$353="是")*(危旧房屋改造项目分表!$AG$6:AH$353="否")*(危旧房屋改造项目分表!$O$6:$O$353="棚改征收")*(危旧房屋改造项目分表!$V$6:$V$353&gt;=11%)*(危旧房屋改造项目分表!$V$6:$V$353&lt;=60%)*危旧房屋改造项目分表!$K$6:$K$353),"")+SUMPRODUCT((危旧房屋改造项目分表!$B$6:$B$353=$E$3)*(危旧房屋改造项目分表!$AD$6:AD$353="是")*(危旧房屋改造项目分表!AG$6:$AG$353="否")*(危旧房屋改造项目分表!$O$6:$O$353="拆除补偿")*(危旧房屋改造项目分表!$V$6:$V$353&gt;=11%)*(危旧房屋改造项目分表!$V$6:$V$353&lt;=60%)*危旧房屋改造项目分表!$K$6:$K$353)</f>
        <v>0</v>
      </c>
      <c r="F57" s="130">
        <f>IFERROR(SUMPRODUCT((危旧房屋改造项目分表!$B$6:$B$353=$F$3)*(危旧房屋改造项目分表!$AD$6:AD$353="是")*(危旧房屋改造项目分表!$AG$6:AI$353="否")*(危旧房屋改造项目分表!$O$6:$O$353="棚改征收")*(危旧房屋改造项目分表!$V$6:$V$353&gt;=11%)*(危旧房屋改造项目分表!$V$6:$V$353&lt;=60%)*危旧房屋改造项目分表!$K$6:$K$353),"")+SUMPRODUCT((危旧房屋改造项目分表!$B$6:$B$353=$F$3)*(危旧房屋改造项目分表!$AD$6:AD$353="是")*(危旧房屋改造项目分表!AG$6:$AG$353="否")*(危旧房屋改造项目分表!$O$6:$O$353="拆除补偿")*(危旧房屋改造项目分表!$V$6:$V$353&gt;=11%)*(危旧房屋改造项目分表!$V$6:$V$353&lt;=60%)*危旧房屋改造项目分表!$K$6:$K$353)</f>
        <v>0</v>
      </c>
      <c r="G57" s="130">
        <f>IFERROR(SUMPRODUCT((危旧房屋改造项目分表!$B$6:$B$353=$G$3)*(危旧房屋改造项目分表!$AD$6:AD$353="是")*(危旧房屋改造项目分表!$AG$6:AJ$353="否")*(危旧房屋改造项目分表!$O$6:$O$353="棚改征收")*(危旧房屋改造项目分表!$V$6:$V$353&gt;=11%)*(危旧房屋改造项目分表!$V$6:$V$353&lt;=60%)*危旧房屋改造项目分表!$K$6:$K$353),"")+SUMPRODUCT((危旧房屋改造项目分表!$B$6:$B$353=$G$3)*(危旧房屋改造项目分表!$AD$6:AD$353="是")*(危旧房屋改造项目分表!AG$6:$AG$353="否")*(危旧房屋改造项目分表!$O$6:$O$353="拆除补偿")*(危旧房屋改造项目分表!$V$6:$V$353&gt;=11%)*(危旧房屋改造项目分表!$V$6:$V$353&lt;=60%)*危旧房屋改造项目分表!$K$6:$K$353)</f>
        <v>0</v>
      </c>
      <c r="H57" s="130">
        <f>IFERROR(SUMPRODUCT((危旧房屋改造项目分表!$B$6:$B$353=$H$3)*(危旧房屋改造项目分表!$AD$6:AD$353="是")*(危旧房屋改造项目分表!$AG$6:AK$353="否")*(危旧房屋改造项目分表!$O$6:$O$353="棚改征收")*(危旧房屋改造项目分表!$V$6:$V$353&gt;=11%)*(危旧房屋改造项目分表!$V$6:$V$353&lt;=60%)*危旧房屋改造项目分表!$K$6:$K$353),"")+SUMPRODUCT((危旧房屋改造项目分表!$B$6:$B$353=$H$3)*(危旧房屋改造项目分表!$AD$6:AD$353="是")*(危旧房屋改造项目分表!AG$6:$AG$353="否")*(危旧房屋改造项目分表!$O$6:$O$353="拆除补偿")*(危旧房屋改造项目分表!$V$6:$V$353&gt;=11%)*(危旧房屋改造项目分表!$V$6:$V$353&lt;=60%)*危旧房屋改造项目分表!$K$6:$K$353)</f>
        <v>0</v>
      </c>
      <c r="I57" s="130">
        <f>IFERROR(SUMPRODUCT((危旧房屋改造项目分表!$B$6:$B$353=$I$3)*(危旧房屋改造项目分表!$AD$6:AD$353="是")*(危旧房屋改造项目分表!$AG$6:AL$353="否")*(危旧房屋改造项目分表!$O$6:$O$353="棚改征收")*(危旧房屋改造项目分表!$V$6:$V$353&gt;=11%)*(危旧房屋改造项目分表!$V$6:$V$353&lt;=60%)*危旧房屋改造项目分表!$K$6:$K$353),"")+SUMPRODUCT((危旧房屋改造项目分表!$B$6:$B$353=$I$3)*(危旧房屋改造项目分表!$AD$6:AD$353="是")*(危旧房屋改造项目分表!AG$6:$AG$353="否")*(危旧房屋改造项目分表!$O$6:$O$353="拆除补偿")*(危旧房屋改造项目分表!$V$6:$V$353&gt;=11%)*(危旧房屋改造项目分表!$V$6:$V$353&lt;=60%)*危旧房屋改造项目分表!$K$6:$K$353)</f>
        <v>0</v>
      </c>
      <c r="J57" s="130">
        <f>IFERROR(SUMPRODUCT((危旧房屋改造项目分表!$B$6:$B$353=$J$3)*(危旧房屋改造项目分表!$AD$6:AD$353="是")*(危旧房屋改造项目分表!$AG$6:AM$353="否")*(危旧房屋改造项目分表!$O$6:$O$353="棚改征收")*(危旧房屋改造项目分表!$V$6:$V$353&gt;=11%)*(危旧房屋改造项目分表!$V$6:$V$353&lt;=60%)*危旧房屋改造项目分表!$K$6:$K$353),"")+SUMPRODUCT((危旧房屋改造项目分表!$B$6:$B$353=$J$3)*(危旧房屋改造项目分表!$AD$6:AD$353="是")*(危旧房屋改造项目分表!AG$6:$AG$353="否")*(危旧房屋改造项目分表!$O$6:$O$353="拆除补偿")*(危旧房屋改造项目分表!$V$6:$V$353&gt;=11%)*(危旧房屋改造项目分表!$V$6:$V$353&lt;=60%)*危旧房屋改造项目分表!$K$6:$K$353)</f>
        <v>0</v>
      </c>
      <c r="K57" s="130">
        <f>IFERROR(SUMPRODUCT((危旧房屋改造项目分表!$B$6:$B$353=$K$3)*(危旧房屋改造项目分表!$AD$6:AD$353="是")*(危旧房屋改造项目分表!$AG$6:AN$353="否")*(危旧房屋改造项目分表!$O$6:$O$353="棚改征收")*(危旧房屋改造项目分表!$V$6:$V$353&gt;=11%)*(危旧房屋改造项目分表!$V$6:$V$353&lt;=60%)*危旧房屋改造项目分表!$K$6:$K$353),"")+SUMPRODUCT((危旧房屋改造项目分表!$B$6:$B$353=$K$3)*(危旧房屋改造项目分表!$AD$6:AD$353="是")*(危旧房屋改造项目分表!AG$6:$AG$353="否")*(危旧房屋改造项目分表!$O$6:$O$353="拆除补偿")*(危旧房屋改造项目分表!$V$6:$V$353&gt;=11%)*(危旧房屋改造项目分表!$V$6:$V$353&lt;=60%)*危旧房屋改造项目分表!$K$6:$K$353)</f>
        <v>0</v>
      </c>
      <c r="L57" s="130">
        <f>IFERROR(SUMPRODUCT((危旧房屋改造项目分表!$B$6:$B$353=$L$3)*(危旧房屋改造项目分表!$AD$6:AD$353="是")*(危旧房屋改造项目分表!$AG$6:AO$353="否")*(危旧房屋改造项目分表!$O$6:$O$353="棚改征收")*(危旧房屋改造项目分表!$V$6:$V$353&gt;=11%)*(危旧房屋改造项目分表!$V$6:$V$353&lt;=60%)*危旧房屋改造项目分表!$K$6:$K$353),"")+SUMPRODUCT((危旧房屋改造项目分表!$B$6:$B$353=$L$3)*(危旧房屋改造项目分表!$AD$6:AD$353="是")*(危旧房屋改造项目分表!AG$6:$AG$353="否")*(危旧房屋改造项目分表!$O$6:$O$353="拆除补偿")*(危旧房屋改造项目分表!$V$6:$V$353&gt;=11%)*(危旧房屋改造项目分表!$V$6:$V$353&lt;=60%)*危旧房屋改造项目分表!$K$6:$K$353)</f>
        <v>0</v>
      </c>
      <c r="M57" s="130">
        <f>IFERROR(SUMPRODUCT((危旧房屋改造项目分表!$AG$6:AP$353="是")*(危旧房屋改造项目分表!$AD$6:AD$353="是")*(危旧房屋改造项目分表!$O$6:$O$353="棚改征收")*(危旧房屋改造项目分表!$V$6:$V$353&gt;=11%)*(危旧房屋改造项目分表!$V$6:$V$353&lt;=60%)*危旧房屋改造项目分表!$K$6:$K$353),"")+SUMPRODUCT((危旧房屋改造项目分表!$AG$6:AH$353="是")*(危旧房屋改造项目分表!$AD$6:AD$353="是")*(危旧房屋改造项目分表!$O$6:$O$353="拆除补偿")*(危旧房屋改造项目分表!$V$6:$V$353&gt;=11%)*(危旧房屋改造项目分表!$V$6:$V$353&lt;=60%)*危旧房屋改造项目分表!$K$6:$K$353)</f>
        <v>0</v>
      </c>
      <c r="N57" s="130">
        <f>SUM($D$57:$M$57)</f>
        <v>0</v>
      </c>
      <c r="O57" s="149" t="str">
        <f>IF(ISERROR(N57/$N$66),"",N57/$N$66)</f>
        <v/>
      </c>
    </row>
    <row r="58" ht="15.6" customHeight="1" spans="1:15">
      <c r="A58" s="145"/>
      <c r="B58" s="129"/>
      <c r="C58" s="129" t="s">
        <v>19</v>
      </c>
      <c r="D58" s="130">
        <f>IFERROR(SUMPRODUCT((危旧房屋改造项目分表!$B$6:$B$353=$D$3)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D$3)*(危旧房屋改造项目分表!$AD$6:AD$353="是")*(危旧房屋改造项目分表!AG$6:$AG$353="否")*(危旧房屋改造项目分表!$O$6:$O$353="拆除补偿")*(危旧房屋改造项目分表!$V$6:$V$353&gt;=11%)*(危旧房屋改造项目分表!$V$6:$V$353&lt;=60%)*危旧房屋改造项目分表!$L$6:$L$353)</f>
        <v>0</v>
      </c>
      <c r="E58" s="130">
        <f>IFERROR(SUMPRODUCT((危旧房屋改造项目分表!$B$6:$B$353=$F$3)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F$3)*(危旧房屋改造项目分表!$AD$6:AD$353="是")*(危旧房屋改造项目分表!AG$6:$AG$353="否")*(危旧房屋改造项目分表!$O$6:$O$353="拆除补偿")*(危旧房屋改造项目分表!$V$6:$V$353&gt;=11%)*(危旧房屋改造项目分表!$V$6:$V$353&lt;=60%)*危旧房屋改造项目分表!$L$6:$L$353)</f>
        <v>0</v>
      </c>
      <c r="F58" s="130">
        <f>IFERROR(SUMPRODUCT((危旧房屋改造项目分表!$B$6:$B$353=$G$3)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G$3)*(危旧房屋改造项目分表!$AD$6:AD$353="是")*(危旧房屋改造项目分表!AG$6:$AG$353="否")*(危旧房屋改造项目分表!$O$6:$O$353="拆除补偿")*(危旧房屋改造项目分表!$V$6:$V$353&gt;=11%)*(危旧房屋改造项目分表!$V$6:$V$353&lt;=60%)*危旧房屋改造项目分表!$L$6:$L$353)</f>
        <v>0</v>
      </c>
      <c r="G58" s="130">
        <f>IFERROR(SUMPRODUCT((危旧房屋改造项目分表!$B$6:$B$353=$G$3)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G$3)*(危旧房屋改造项目分表!$AD$6:AD$353="是")*(危旧房屋改造项目分表!AG$6:$AG$353="否")*(危旧房屋改造项目分表!$O$6:$O$353="拆除补偿")*(危旧房屋改造项目分表!$V$6:$V$353&gt;=11%)*(危旧房屋改造项目分表!$V$6:$V$353&lt;=60%)*危旧房屋改造项目分表!$L$6:$L$353)</f>
        <v>0</v>
      </c>
      <c r="H58" s="130">
        <f>IFERROR(SUMPRODUCT((危旧房屋改造项目分表!$B$6:$B$353=$H$3)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H$3)*(危旧房屋改造项目分表!$AD$6:AD$353="是")*(危旧房屋改造项目分表!AG$6:$AG$353="否")*(危旧房屋改造项目分表!$O$6:$O$353="拆除补偿")*(危旧房屋改造项目分表!$V$6:$V$353&gt;=11%)*(危旧房屋改造项目分表!$V$6:$V$353&lt;=60%)*危旧房屋改造项目分表!$L$6:$L$353)</f>
        <v>0</v>
      </c>
      <c r="I58" s="130">
        <f>IFERROR(SUMPRODUCT((危旧房屋改造项目分表!$B$6:$B$353=$I$3)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I$3)*(危旧房屋改造项目分表!$AD$6:AD$353="是")*(危旧房屋改造项目分表!AG$6:$AG$353="否")*(危旧房屋改造项目分表!$O$6:$O$353="拆除补偿")*(危旧房屋改造项目分表!$V$6:$V$353&gt;=11%)*(危旧房屋改造项目分表!$V$6:$V$353&lt;=60%)*危旧房屋改造项目分表!$L$6:$L$353)</f>
        <v>0</v>
      </c>
      <c r="J58" s="130">
        <f>IFERROR(SUMPRODUCT((危旧房屋改造项目分表!$B$6:$B$353=$J$3)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J$3)*(危旧房屋改造项目分表!$AD$6:AD$353="是")*(危旧房屋改造项目分表!AG$6:$AG$353="否")*(危旧房屋改造项目分表!$O$6:$O$353="拆除补偿")*(危旧房屋改造项目分表!$V$6:$V$353&gt;=11%)*(危旧房屋改造项目分表!$V$6:$V$353&lt;=60%)*危旧房屋改造项目分表!$L$6:$L$353)</f>
        <v>0</v>
      </c>
      <c r="K58" s="130">
        <f>IFERROR(SUMPRODUCT((危旧房屋改造项目分表!$B$6:$B$353=$K$3)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K$3)*(危旧房屋改造项目分表!$AD$6:AD$353="是")*(危旧房屋改造项目分表!AG$6:$AG$353="否")*(危旧房屋改造项目分表!$O$6:$O$353="拆除补偿")*(危旧房屋改造项目分表!$V$6:$V$353&gt;=11%)*(危旧房屋改造项目分表!$V$6:$V$353&lt;=60%)*危旧房屋改造项目分表!$L$6:$L$353)</f>
        <v>0</v>
      </c>
      <c r="L58" s="130">
        <f>IFERROR(SUMPRODUCT((危旧房屋改造项目分表!$B$6:$B$353=$L$3)*(危旧房屋改造项目分表!$AD$6:AD$353="是")*(危旧房屋改造项目分表!AG$6:$AG$353="否")*(危旧房屋改造项目分表!$O$6:$O$353="棚改征收")*(危旧房屋改造项目分表!$V$6:$V$353&gt;=11%)*(危旧房屋改造项目分表!$V$6:$V$353&lt;=60%)*危旧房屋改造项目分表!$L$6:$L$353),"")+SUMPRODUCT((危旧房屋改造项目分表!$B$6:$B$353=$L$3)*(危旧房屋改造项目分表!$AD$6:AD$353="是")*(危旧房屋改造项目分表!AG$6:$AG$353="否")*(危旧房屋改造项目分表!$O$6:$O$353="拆除补偿")*(危旧房屋改造项目分表!$V$6:$V$353&gt;=11%)*(危旧房屋改造项目分表!$V$6:$V$353&lt;=60%)*危旧房屋改造项目分表!$L$6:$L$353)</f>
        <v>0</v>
      </c>
      <c r="M58" s="130">
        <f>IFERROR(SUMPRODUCT((危旧房屋改造项目分表!$AG$6:AH$353="是")*(危旧房屋改造项目分表!$AD$6:AD$353="是")*(危旧房屋改造项目分表!$O$6:$O$353="棚改征收")*(危旧房屋改造项目分表!$V$6:$V$353&gt;=11%)*(危旧房屋改造项目分表!$V$6:$V$353&lt;=60%)*危旧房屋改造项目分表!$L$6:$L$353),"")+SUMPRODUCT((危旧房屋改造项目分表!$AG$6:AH$353="是")*(危旧房屋改造项目分表!$AD$6:AD$353="是")*(危旧房屋改造项目分表!$O$6:$O$353="拆除补偿")*(危旧房屋改造项目分表!$V$6:$V$353&gt;=11%)*(危旧房屋改造项目分表!$V$6:$V$353&lt;=60%)*危旧房屋改造项目分表!$L$6:$L$353)</f>
        <v>0</v>
      </c>
      <c r="N58" s="130">
        <f>SUM($D$58:$M$58)</f>
        <v>0</v>
      </c>
      <c r="O58" s="149" t="str">
        <f>IF(ISERROR(N58/$N$67),"",N58/$N$67)</f>
        <v/>
      </c>
    </row>
    <row r="59" ht="15.6" customHeight="1" spans="1:15">
      <c r="A59" s="145"/>
      <c r="B59" s="129" t="s">
        <v>31</v>
      </c>
      <c r="C59" s="129" t="s">
        <v>17</v>
      </c>
      <c r="D59" s="130">
        <f>IFERROR(SUMPRODUCT((危旧房屋改造项目分表!$B$6:$B$353=$D$3)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D$3)*(危旧房屋改造项目分表!$AD$6:AD$353="是")*(危旧房屋改造项目分表!AG$6:$AG$353="否")*(危旧房屋改造项目分表!$O$6:$O$353="拆除补偿")*(危旧房屋改造项目分表!$V$6:$V$353&gt;=61%)*(危旧房屋改造项目分表!$V$6:$V$353&lt;=89%)*危旧房屋改造项目分表!$AF$6:$AF$353)</f>
        <v>0</v>
      </c>
      <c r="E59" s="130">
        <f>IFERROR(SUMPRODUCT((危旧房屋改造项目分表!$B$6:$B$353=$E$3)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E$3)*(危旧房屋改造项目分表!$AD$6:AD$353="是")*(危旧房屋改造项目分表!AG$6:$AG$353="否")*(危旧房屋改造项目分表!$O$6:$O$353="拆除补偿")*(危旧房屋改造项目分表!$V$6:$V$353&gt;=61%)*(危旧房屋改造项目分表!$V$6:$V$353&lt;=89%)*危旧房屋改造项目分表!$AF$6:$AF$353)</f>
        <v>0</v>
      </c>
      <c r="F59" s="130">
        <f>IFERROR(SUMPRODUCT((危旧房屋改造项目分表!$B$6:$B$353=$F$3)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F$3)*(危旧房屋改造项目分表!$AD$6:AD$353="是")*(危旧房屋改造项目分表!AG$6:$AG$353="否")*(危旧房屋改造项目分表!$O$6:$O$353="拆除补偿")*(危旧房屋改造项目分表!$V$6:$V$353&gt;=61%)*(危旧房屋改造项目分表!$V$6:$V$353&lt;=89%)*危旧房屋改造项目分表!$AF$6:$AF$353)</f>
        <v>0</v>
      </c>
      <c r="G59" s="130">
        <f>IFERROR(SUMPRODUCT((危旧房屋改造项目分表!$B$6:$B$353=$G$3)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G$3)*(危旧房屋改造项目分表!$AD$6:AD$353="是")*(危旧房屋改造项目分表!AG$6:$AG$353="否")*(危旧房屋改造项目分表!$O$6:$O$353="拆除补偿")*(危旧房屋改造项目分表!$V$6:$V$353&gt;=61%)*(危旧房屋改造项目分表!$V$6:$V$353&lt;=89%)*危旧房屋改造项目分表!$AF$6:$AF$353)</f>
        <v>0</v>
      </c>
      <c r="H59" s="130">
        <f>IFERROR(SUMPRODUCT((危旧房屋改造项目分表!$B$6:$B$353=$H$3)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H$3)*(危旧房屋改造项目分表!$AD$6:AD$353="是")*(危旧房屋改造项目分表!AG$6:$AG$353="否")*(危旧房屋改造项目分表!$O$6:$O$353="拆除补偿")*(危旧房屋改造项目分表!$V$6:$V$353&gt;=61%)*(危旧房屋改造项目分表!$V$6:$V$353&lt;=89%)*危旧房屋改造项目分表!$AF$6:$AF$353)</f>
        <v>0</v>
      </c>
      <c r="I59" s="130">
        <f>IFERROR(SUMPRODUCT((危旧房屋改造项目分表!$B$6:$B$353=$I$3)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I$3)*(危旧房屋改造项目分表!$AD$6:AD$353="是")*(危旧房屋改造项目分表!AG$6:$AG$353="否")*(危旧房屋改造项目分表!$O$6:$O$353="拆除补偿")*(危旧房屋改造项目分表!$V$6:$V$353&gt;=61%)*(危旧房屋改造项目分表!$V$6:$V$353&lt;=89%)*危旧房屋改造项目分表!$AF$6:$AF$353)</f>
        <v>0</v>
      </c>
      <c r="J59" s="130">
        <f>IFERROR(SUMPRODUCT((危旧房屋改造项目分表!$B$6:$B$353=$J$3)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J$3)*(危旧房屋改造项目分表!$AD$6:AD$353="是")*(危旧房屋改造项目分表!AG$6:$AG$353="否")*(危旧房屋改造项目分表!$O$6:$O$353="拆除补偿")*(危旧房屋改造项目分表!$V$6:$V$353&gt;=61%)*(危旧房屋改造项目分表!$V$6:$V$353&lt;=89%)*危旧房屋改造项目分表!$AF$6:$AF$353)</f>
        <v>0</v>
      </c>
      <c r="K59" s="130">
        <f>IFERROR(SUMPRODUCT((危旧房屋改造项目分表!$B$6:$B$353=$K$3)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K$3)*(危旧房屋改造项目分表!$AD$6:AD$353="是")*(危旧房屋改造项目分表!AG$6:$AG$353="否")*(危旧房屋改造项目分表!$O$6:$O$353="拆除补偿")*(危旧房屋改造项目分表!$V$6:$V$353&gt;=61%)*(危旧房屋改造项目分表!$V$6:$V$353&lt;=89%)*危旧房屋改造项目分表!$AF$6:$AF$353)</f>
        <v>0</v>
      </c>
      <c r="L59" s="130">
        <f>IFERROR(SUMPRODUCT((危旧房屋改造项目分表!$B$6:$B$353=$L$3)*(危旧房屋改造项目分表!$AD$6:AD$353="是")*(危旧房屋改造项目分表!AG$6:$AG$353="否")*(危旧房屋改造项目分表!$O$6:$O$353="棚改征收")*(危旧房屋改造项目分表!$V$6:$V$353&gt;=61%)*(危旧房屋改造项目分表!$V$6:$V$353&lt;=89%)*危旧房屋改造项目分表!$AF$6:$AF$353),"")+SUMPRODUCT((危旧房屋改造项目分表!$B$6:$B$353=$L$3)*(危旧房屋改造项目分表!$AD$6:AD$353="是")*(危旧房屋改造项目分表!AG$6:$AG$353="否")*(危旧房屋改造项目分表!$O$6:$O$353="拆除补偿")*(危旧房屋改造项目分表!$V$6:$V$353&gt;=61%)*(危旧房屋改造项目分表!$V$6:$V$353&lt;=89%)*危旧房屋改造项目分表!$AF$6:$AF$353)</f>
        <v>0</v>
      </c>
      <c r="M59" s="130">
        <f>IFERROR(SUMPRODUCT((危旧房屋改造项目分表!$AG$6:AH$353="是")*(危旧房屋改造项目分表!$AD$6:AD$353="是")*(危旧房屋改造项目分表!$O$6:$O$353="棚改征收")*(危旧房屋改造项目分表!$V$6:$V$353&gt;=61%)*(危旧房屋改造项目分表!$V$6:$V$353&lt;=89%)*危旧房屋改造项目分表!$AF$6:$AF$353),"")+SUMPRODUCT((危旧房屋改造项目分表!$AG$6:AH$353="是")*(危旧房屋改造项目分表!$AD$6:AD$353="是")*(危旧房屋改造项目分表!$O$6:$O$353="拆除补偿")*(危旧房屋改造项目分表!$V$6:$V$353&gt;=61%)*(危旧房屋改造项目分表!$V$6:$V$353&lt;=89%)*危旧房屋改造项目分表!$AF$6:$AF$353)</f>
        <v>0</v>
      </c>
      <c r="N59" s="130">
        <f>SUM($D$59:$M$59)</f>
        <v>0</v>
      </c>
      <c r="O59" s="149" t="str">
        <f>IF(ISERROR(N59/$N$65),"",N59/$N$65)</f>
        <v/>
      </c>
    </row>
    <row r="60" ht="15.6" customHeight="1" spans="1:15">
      <c r="A60" s="145"/>
      <c r="B60" s="129"/>
      <c r="C60" s="129" t="s">
        <v>18</v>
      </c>
      <c r="D60" s="130">
        <f>IFERROR(SUMPRODUCT((危旧房屋改造项目分表!$B$6:$B$353=$D$3)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D$3)*(危旧房屋改造项目分表!$AD$6:AD$353="是")*(危旧房屋改造项目分表!AG$6:$AG$353="否")*(危旧房屋改造项目分表!$O$6:$O$353="拆除补偿")*(危旧房屋改造项目分表!$V$6:$V$353&gt;=61%)*(危旧房屋改造项目分表!$V$6:$V$353&lt;=89%)*危旧房屋改造项目分表!$K$6:$K$353)</f>
        <v>0</v>
      </c>
      <c r="E60" s="130">
        <f>IFERROR(SUMPRODUCT((危旧房屋改造项目分表!$B$6:$B$353=$E$3)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E$3)*(危旧房屋改造项目分表!$AD$6:AD$353="是")*(危旧房屋改造项目分表!AG$6:$AG$353="否")*(危旧房屋改造项目分表!$O$6:$O$353="拆除补偿")*(危旧房屋改造项目分表!$V$6:$V$353&gt;=61%)*(危旧房屋改造项目分表!$V$6:$V$353&lt;=89%)*危旧房屋改造项目分表!$K$6:$K$353)</f>
        <v>0</v>
      </c>
      <c r="F60" s="130">
        <f>IFERROR(SUMPRODUCT((危旧房屋改造项目分表!$B$6:$B$353=$F$3)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F$3)*(危旧房屋改造项目分表!$AD$6:AD$353="是")*(危旧房屋改造项目分表!AG$6:$AG$353="否")*(危旧房屋改造项目分表!$O$6:$O$353="拆除补偿")*(危旧房屋改造项目分表!$V$6:$V$353&gt;=61%)*(危旧房屋改造项目分表!$V$6:$V$353&lt;=89%)*危旧房屋改造项目分表!$K$6:$K$353)</f>
        <v>0</v>
      </c>
      <c r="G60" s="130">
        <f>IFERROR(SUMPRODUCT((危旧房屋改造项目分表!$B$6:$B$353=$G$3)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G$3)*(危旧房屋改造项目分表!$AD$6:AD$353="是")*(危旧房屋改造项目分表!AG$6:$AG$353="否")*(危旧房屋改造项目分表!$O$6:$O$353="拆除补偿")*(危旧房屋改造项目分表!$V$6:$V$353&gt;=61%)*(危旧房屋改造项目分表!$V$6:$V$353&lt;=89%)*危旧房屋改造项目分表!$K$6:$K$353)</f>
        <v>0</v>
      </c>
      <c r="H60" s="130">
        <f>IFERROR(SUMPRODUCT((危旧房屋改造项目分表!$B$6:$B$353=$H$3)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H$3)*(危旧房屋改造项目分表!$AD$6:AD$353="是")*(危旧房屋改造项目分表!AG$6:$AG$353="否")*(危旧房屋改造项目分表!$O$6:$O$353="拆除补偿")*(危旧房屋改造项目分表!$V$6:$V$353&gt;=61%)*(危旧房屋改造项目分表!$V$6:$V$353&lt;=89%)*危旧房屋改造项目分表!$K$6:$K$353)</f>
        <v>0</v>
      </c>
      <c r="I60" s="130">
        <f>IFERROR(SUMPRODUCT((危旧房屋改造项目分表!$B$6:$B$353=$I$3)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I$3)*(危旧房屋改造项目分表!$AD$6:AD$353="是")*(危旧房屋改造项目分表!AG$6:$AG$353="否")*(危旧房屋改造项目分表!$O$6:$O$353="拆除补偿")*(危旧房屋改造项目分表!$V$6:$V$353&gt;=61%)*(危旧房屋改造项目分表!$V$6:$V$353&lt;=89%)*危旧房屋改造项目分表!$K$6:$K$353)</f>
        <v>0</v>
      </c>
      <c r="J60" s="130">
        <f>IFERROR(SUMPRODUCT((危旧房屋改造项目分表!$B$6:$B$353=$J$3)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J$3)*(危旧房屋改造项目分表!$AD$6:AD$353="是")*(危旧房屋改造项目分表!AG$6:$AG$353="否")*(危旧房屋改造项目分表!$O$6:$O$353="拆除补偿")*(危旧房屋改造项目分表!$V$6:$V$353&gt;=61%)*(危旧房屋改造项目分表!$V$6:$V$353&lt;=89%)*危旧房屋改造项目分表!$K$6:$K$353)</f>
        <v>0</v>
      </c>
      <c r="K60" s="130">
        <f>IFERROR(SUMPRODUCT((危旧房屋改造项目分表!$B$6:$B$353=$K$3)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K$3)*(危旧房屋改造项目分表!$AD$6:AD$353="是")*(危旧房屋改造项目分表!AG$6:$AG$353="否")*(危旧房屋改造项目分表!$O$6:$O$353="拆除补偿")*(危旧房屋改造项目分表!$V$6:$V$353&gt;=61%)*(危旧房屋改造项目分表!$V$6:$V$353&lt;=89%)*危旧房屋改造项目分表!$K$6:$K$353)</f>
        <v>0</v>
      </c>
      <c r="L60" s="130">
        <f>IFERROR(SUMPRODUCT((危旧房屋改造项目分表!$B$6:$B$353=$L$3)*(危旧房屋改造项目分表!$AD$6:AD$353="是")*(危旧房屋改造项目分表!AG$6:$AG$353="否")*(危旧房屋改造项目分表!$O$6:$O$353="棚改征收")*(危旧房屋改造项目分表!$V$6:$V$353&gt;=61%)*(危旧房屋改造项目分表!$V$6:$V$353&lt;=89%)*危旧房屋改造项目分表!$K$6:$K$353),"")+SUMPRODUCT((危旧房屋改造项目分表!$B$6:$B$353=$L$3)*(危旧房屋改造项目分表!$AD$6:AD$353="是")*(危旧房屋改造项目分表!AG$6:$AG$353="否")*(危旧房屋改造项目分表!$O$6:$O$353="拆除补偿")*(危旧房屋改造项目分表!$V$6:$V$353&gt;=61%)*(危旧房屋改造项目分表!$V$6:$V$353&lt;=89%)*危旧房屋改造项目分表!$K$6:$K$353)</f>
        <v>0</v>
      </c>
      <c r="M60" s="130">
        <f>IFERROR(SUMPRODUCT((危旧房屋改造项目分表!$AG$6:AH$353="是")*(危旧房屋改造项目分表!$AD$6:AD$353="是")*(危旧房屋改造项目分表!$O$6:$O$353="棚改征收")*(危旧房屋改造项目分表!$V$6:$V$353&gt;=61%)*(危旧房屋改造项目分表!$V$6:$V$353&lt;=89%)*危旧房屋改造项目分表!$K$6:$K$353),"")+SUMPRODUCT((危旧房屋改造项目分表!$AG$6:AH$353="是")*(危旧房屋改造项目分表!$AD$6:AD$353="是")*(危旧房屋改造项目分表!$O$6:$O$353="拆除补偿")*(危旧房屋改造项目分表!$V$6:$V$353&gt;=61%)*(危旧房屋改造项目分表!$V$6:$V$353&lt;=89%)*危旧房屋改造项目分表!$K$6:$K$353)</f>
        <v>0</v>
      </c>
      <c r="N60" s="130">
        <f>SUM($D$60:$M$60)</f>
        <v>0</v>
      </c>
      <c r="O60" s="149" t="str">
        <f>IF(ISERROR(N60/$N$66),"",N60/$N$66)</f>
        <v/>
      </c>
    </row>
    <row r="61" ht="15.6" customHeight="1" spans="1:15">
      <c r="A61" s="145"/>
      <c r="B61" s="129"/>
      <c r="C61" s="129" t="s">
        <v>19</v>
      </c>
      <c r="D61" s="130">
        <f>IFERROR(SUMPRODUCT((危旧房屋改造项目分表!$B$6:$B$353=$D$3)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D$3)*(危旧房屋改造项目分表!$AD$6:AD$353="是")*(危旧房屋改造项目分表!AG$6:$AG$353="否")*(危旧房屋改造项目分表!$O$6:$O$353="拆除补偿")*(危旧房屋改造项目分表!$V$6:$V$353&gt;=61%)*(危旧房屋改造项目分表!$V$6:$V$353&lt;=89%)*危旧房屋改造项目分表!$L$6:$L$353)</f>
        <v>0</v>
      </c>
      <c r="E61" s="130">
        <f>IFERROR(SUMPRODUCT((危旧房屋改造项目分表!$B$6:$B$353=$E$3)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E$3)*(危旧房屋改造项目分表!$AD$6:AD$353="是")*(危旧房屋改造项目分表!AG$6:$AG$353="否")*(危旧房屋改造项目分表!$O$6:$O$353="拆除补偿")*(危旧房屋改造项目分表!$V$6:$V$353&gt;=61%)*(危旧房屋改造项目分表!$V$6:$V$353&lt;=89%)*危旧房屋改造项目分表!$L$6:$L$353)</f>
        <v>0</v>
      </c>
      <c r="F61" s="130">
        <f>IFERROR(SUMPRODUCT((危旧房屋改造项目分表!$B$6:$B$353=$F$3)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F$3)*(危旧房屋改造项目分表!$AD$6:AD$353="是")*(危旧房屋改造项目分表!AG$6:$AG$353="否")*(危旧房屋改造项目分表!$O$6:$O$353="拆除补偿")*(危旧房屋改造项目分表!$V$6:$V$353&gt;=61%)*(危旧房屋改造项目分表!$V$6:$V$353&lt;=89%)*危旧房屋改造项目分表!$L$6:$L$353)</f>
        <v>0</v>
      </c>
      <c r="G61" s="130">
        <f>IFERROR(SUMPRODUCT((危旧房屋改造项目分表!$B$6:$B$353=$G$3)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G$3)*(危旧房屋改造项目分表!$AD$6:AD$353="是")*(危旧房屋改造项目分表!AG$6:$AG$353="否")*(危旧房屋改造项目分表!$O$6:$O$353="拆除补偿")*(危旧房屋改造项目分表!$V$6:$V$353&gt;=61%)*(危旧房屋改造项目分表!$V$6:$V$353&lt;=89%)*危旧房屋改造项目分表!$L$6:$L$353)</f>
        <v>0</v>
      </c>
      <c r="H61" s="130">
        <f>IFERROR(SUMPRODUCT((危旧房屋改造项目分表!$B$6:$B$353=$H$3)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H$3)*(危旧房屋改造项目分表!$AD$6:AD$353="是")*(危旧房屋改造项目分表!AG$6:$AG$353="否")*(危旧房屋改造项目分表!$O$6:$O$353="拆除补偿")*(危旧房屋改造项目分表!$V$6:$V$353&gt;=61%)*(危旧房屋改造项目分表!$V$6:$V$353&lt;=89%)*危旧房屋改造项目分表!$L$6:$L$353)</f>
        <v>0</v>
      </c>
      <c r="I61" s="130">
        <f>IFERROR(SUMPRODUCT((危旧房屋改造项目分表!$B$6:$B$353=$I$3)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I$3)*(危旧房屋改造项目分表!$AD$6:AD$353="是")*(危旧房屋改造项目分表!AG$6:$AG$353="否")*(危旧房屋改造项目分表!$O$6:$O$353="拆除补偿")*(危旧房屋改造项目分表!$V$6:$V$353&gt;=61%)*(危旧房屋改造项目分表!$V$6:$V$353&lt;=89%)*危旧房屋改造项目分表!$L$6:$L$353)</f>
        <v>0</v>
      </c>
      <c r="J61" s="130">
        <f>IFERROR(SUMPRODUCT((危旧房屋改造项目分表!$B$6:$B$353=$J$3)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J$3)*(危旧房屋改造项目分表!$AD$6:AD$353="是")*(危旧房屋改造项目分表!AG$6:$AG$353="否")*(危旧房屋改造项目分表!$O$6:$O$353="拆除补偿")*(危旧房屋改造项目分表!$V$6:$V$353&gt;=61%)*(危旧房屋改造项目分表!$V$6:$V$353&lt;=89%)*危旧房屋改造项目分表!$L$6:$L$353)</f>
        <v>0</v>
      </c>
      <c r="K61" s="130">
        <f>IFERROR(SUMPRODUCT((危旧房屋改造项目分表!$B$6:$B$353=$K$3)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K$3)*(危旧房屋改造项目分表!$AD$6:AD$353="是")*(危旧房屋改造项目分表!AG$6:$AG$353="否")*(危旧房屋改造项目分表!$O$6:$O$353="拆除补偿")*(危旧房屋改造项目分表!$V$6:$V$353&gt;=61%)*(危旧房屋改造项目分表!$V$6:$V$353&lt;=89%)*危旧房屋改造项目分表!$L$6:$L$353)</f>
        <v>0</v>
      </c>
      <c r="L61" s="130">
        <f>IFERROR(SUMPRODUCT((危旧房屋改造项目分表!$B$6:$B$353=$L$3)*(危旧房屋改造项目分表!$AD$6:AD$353="是")*(危旧房屋改造项目分表!AG$6:$AG$353="否")*(危旧房屋改造项目分表!$O$6:$O$353="棚改征收")*(危旧房屋改造项目分表!$V$6:$V$353&gt;=61%)*(危旧房屋改造项目分表!$V$6:$V$353&lt;=89%)*危旧房屋改造项目分表!$L$6:$L$353),"")+SUMPRODUCT((危旧房屋改造项目分表!$B$6:$B$353=$L$3)*(危旧房屋改造项目分表!$AD$6:AD$353="是")*(危旧房屋改造项目分表!AG$6:$AG$353="否")*(危旧房屋改造项目分表!$O$6:$O$353="拆除补偿")*(危旧房屋改造项目分表!$V$6:$V$353&gt;=61%)*(危旧房屋改造项目分表!$V$6:$V$353&lt;=89%)*危旧房屋改造项目分表!$L$6:$L$353)</f>
        <v>0</v>
      </c>
      <c r="M61" s="130">
        <f>IFERROR(SUMPRODUCT((危旧房屋改造项目分表!$AG$6:AH$353="是")*(危旧房屋改造项目分表!$AD$6:AD$353="是")*(危旧房屋改造项目分表!$O$6:$O$353="棚改征收")*(危旧房屋改造项目分表!$V$6:$V$353&gt;=61%)*(危旧房屋改造项目分表!$V$6:$V$353&lt;=89%)*危旧房屋改造项目分表!$L$6:$L$353),"")+SUMPRODUCT((危旧房屋改造项目分表!$AG$6:AH$353="是")*(危旧房屋改造项目分表!$AD$6:AD$353="是")*(危旧房屋改造项目分表!$O$6:$O$353="拆除补偿")*(危旧房屋改造项目分表!$V$6:$V$353&gt;=61%)*(危旧房屋改造项目分表!$V$6:$V$353&lt;=89%)*危旧房屋改造项目分表!$L$6:$L$353)</f>
        <v>0</v>
      </c>
      <c r="N61" s="130">
        <f>SUM($D$61:$M$61)</f>
        <v>0</v>
      </c>
      <c r="O61" s="149" t="str">
        <f>IF(ISERROR(N61/$N$67),"",N61/$N$67)</f>
        <v/>
      </c>
    </row>
    <row r="62" ht="14.85" customHeight="1" spans="1:15">
      <c r="A62" s="145"/>
      <c r="B62" s="129" t="s">
        <v>32</v>
      </c>
      <c r="C62" s="129" t="s">
        <v>17</v>
      </c>
      <c r="D62" s="130">
        <f>IFERROR(SUMPRODUCT((危旧房屋改造项目分表!$B$6:$B$353=$D$3)*(危旧房屋改造项目分表!$AD$6:AD$353="是")*(危旧房屋改造项目分表!AG$6:$AG$353="否")*(危旧房屋改造项目分表!$O$6:$O$353="棚改征收")*(危旧房屋改造项目分表!$V$6:$V$353&gt;=90%)*危旧房屋改造项目分表!$AF$6:$AF$353),"")+SUMPRODUCT((危旧房屋改造项目分表!$B$6:$B$353=$D$3)*(危旧房屋改造项目分表!$AD$6:AD$353="是")*(危旧房屋改造项目分表!AG$6:$AG$353="否")*(危旧房屋改造项目分表!$O$6:$O$353="拆除补偿")*(危旧房屋改造项目分表!$V$6:$V$353&gt;=90%)*危旧房屋改造项目分表!$AF$6:$AF$353)</f>
        <v>0</v>
      </c>
      <c r="E62" s="130">
        <f>IFERROR(SUMPRODUCT((危旧房屋改造项目分表!$B$6:$B$353=$E$3)*(危旧房屋改造项目分表!$AD$6:AD$353="是")*(危旧房屋改造项目分表!AG$6:$AG$353="否")*(危旧房屋改造项目分表!$O$6:$O$353="棚改征收")*(危旧房屋改造项目分表!$V$6:$V$353&gt;=90%)*危旧房屋改造项目分表!$AF$6:$AF$353),"")+SUMPRODUCT((危旧房屋改造项目分表!$B$6:$B$353=$E$3)*(危旧房屋改造项目分表!$AD$6:AD$353="是")*(危旧房屋改造项目分表!AG$6:$AG$353="否")*(危旧房屋改造项目分表!$O$6:$O$353="拆除补偿")*(危旧房屋改造项目分表!$V$6:$V$353&gt;=90%)*危旧房屋改造项目分表!$AF$6:$AF$353)</f>
        <v>0</v>
      </c>
      <c r="F62" s="130">
        <f>IFERROR(SUMPRODUCT((危旧房屋改造项目分表!$B$6:$B$353=$F$3)*(危旧房屋改造项目分表!$AD$6:AD$353="是")*(危旧房屋改造项目分表!AG$6:$AG$353="否")*(危旧房屋改造项目分表!$O$6:$O$353="棚改征收")*(危旧房屋改造项目分表!$V$6:$V$353&gt;=90%)*危旧房屋改造项目分表!$AF$6:$AF$353),"")+SUMPRODUCT((危旧房屋改造项目分表!$B$6:$B$353=$F$3)*(危旧房屋改造项目分表!$AD$6:AD$353="是")*(危旧房屋改造项目分表!AG$6:$AG$353="否")*(危旧房屋改造项目分表!$O$6:$O$353="拆除补偿")*(危旧房屋改造项目分表!$V$6:$V$353&gt;=90%)*危旧房屋改造项目分表!$AF$6:$AF$353)</f>
        <v>0</v>
      </c>
      <c r="G62" s="130">
        <f>IFERROR(SUMPRODUCT((危旧房屋改造项目分表!$B$6:$B$353=$G$3)*(危旧房屋改造项目分表!$AD$6:AD$353="是")*(危旧房屋改造项目分表!AG$6:$AG$353="否")*(危旧房屋改造项目分表!$O$6:$O$353="棚改征收")*(危旧房屋改造项目分表!$V$6:$V$353&gt;=90%)*危旧房屋改造项目分表!$AF$6:$AF$353),"")+SUMPRODUCT((危旧房屋改造项目分表!$B$6:$B$353=$G$3)*(危旧房屋改造项目分表!$AD$6:AD$353="是")*(危旧房屋改造项目分表!AG$6:$AG$353="否")*(危旧房屋改造项目分表!$O$6:$O$353="拆除补偿")*(危旧房屋改造项目分表!$V$6:$V$353&gt;=90%)*危旧房屋改造项目分表!$AF$6:$AF$353)</f>
        <v>0</v>
      </c>
      <c r="H62" s="130">
        <f>IFERROR(SUMPRODUCT((危旧房屋改造项目分表!$B$6:$B$353=$H$3)*(危旧房屋改造项目分表!$AD$6:AD$353="是")*(危旧房屋改造项目分表!AG$6:$AG$353="否")*(危旧房屋改造项目分表!$O$6:$O$353="棚改征收")*(危旧房屋改造项目分表!$V$6:$V$353&gt;=90%)*危旧房屋改造项目分表!$AF$6:$AF$353),"")+SUMPRODUCT((危旧房屋改造项目分表!$B$6:$B$353=$H$3)*(危旧房屋改造项目分表!$AD$6:AD$353="是")*(危旧房屋改造项目分表!AG$6:$AG$353="否")*(危旧房屋改造项目分表!$O$6:$O$353="拆除补偿")*(危旧房屋改造项目分表!$V$6:$V$353&gt;=90%)*危旧房屋改造项目分表!$AF$6:$AF$353)</f>
        <v>0</v>
      </c>
      <c r="I62" s="130">
        <f>IFERROR(SUMPRODUCT((危旧房屋改造项目分表!$B$6:$B$353=$I$3)*(危旧房屋改造项目分表!$AD$6:AD$353="是")*(危旧房屋改造项目分表!AG$6:$AG$353="否")*(危旧房屋改造项目分表!$O$6:$O$353="棚改征收")*(危旧房屋改造项目分表!$V$6:$V$353&gt;=90%)*危旧房屋改造项目分表!$AF$6:$AF$353),"")+SUMPRODUCT((危旧房屋改造项目分表!$B$6:$B$353=$I$3)*(危旧房屋改造项目分表!$AD$6:AD$353="是")*(危旧房屋改造项目分表!AG$6:$AG$353="否")*(危旧房屋改造项目分表!$O$6:$O$353="拆除补偿")*(危旧房屋改造项目分表!$V$6:$V$353&gt;=90%)*危旧房屋改造项目分表!$AF$6:$AF$353)</f>
        <v>0</v>
      </c>
      <c r="J62" s="130">
        <f>IFERROR(SUMPRODUCT((危旧房屋改造项目分表!$B$6:$B$353=$J$3)*(危旧房屋改造项目分表!$AD$6:AD$353="是")*(危旧房屋改造项目分表!AG$6:$AG$353="否")*(危旧房屋改造项目分表!$O$6:$O$353="棚改征收")*(危旧房屋改造项目分表!$V$6:$V$353&gt;=90%)*危旧房屋改造项目分表!$AF$6:$AF$353),"")+SUMPRODUCT((危旧房屋改造项目分表!$B$6:$B$353=$J$3)*(危旧房屋改造项目分表!$AD$6:AD$353="是")*(危旧房屋改造项目分表!AG$6:$AG$353="否")*(危旧房屋改造项目分表!$O$6:$O$353="拆除补偿")*(危旧房屋改造项目分表!$V$6:$V$353&gt;=90%)*危旧房屋改造项目分表!$AF$6:$AF$353)</f>
        <v>0</v>
      </c>
      <c r="K62" s="130">
        <f>IFERROR(SUMPRODUCT((危旧房屋改造项目分表!$B$6:$B$353=$K$3)*(危旧房屋改造项目分表!$AD$6:AD$353="是")*(危旧房屋改造项目分表!AG$6:$AG$353="否")*(危旧房屋改造项目分表!$O$6:$O$353="棚改征收")*(危旧房屋改造项目分表!$V$6:$V$353&gt;=90%)*危旧房屋改造项目分表!$AF$6:$AF$353),"")+SUMPRODUCT((危旧房屋改造项目分表!$B$6:$B$353=$K$3)*(危旧房屋改造项目分表!$AD$6:AD$353="是")*(危旧房屋改造项目分表!AG$6:$AG$353="否")*(危旧房屋改造项目分表!$O$6:$O$353="拆除补偿")*(危旧房屋改造项目分表!$V$6:$V$353&gt;=90%)*危旧房屋改造项目分表!$AF$6:$AF$353)</f>
        <v>0</v>
      </c>
      <c r="L62" s="130">
        <f>IFERROR(SUMPRODUCT((危旧房屋改造项目分表!$B$6:$B$353=$L$3)*(危旧房屋改造项目分表!$AD$6:AD$353="是")*(危旧房屋改造项目分表!AG$6:$AG$353="否")*(危旧房屋改造项目分表!$O$6:$O$353="棚改征收")*(危旧房屋改造项目分表!$V$6:$V$353&gt;=90%)*危旧房屋改造项目分表!$AF$6:$AF$353),"")+SUMPRODUCT((危旧房屋改造项目分表!$B$6:$B$353=$L$3)*(危旧房屋改造项目分表!$AD$6:AD$353="是")*(危旧房屋改造项目分表!AG$6:$AG$353="否")*(危旧房屋改造项目分表!$O$6:$O$353="拆除补偿")*(危旧房屋改造项目分表!$V$6:$V$353&gt;=90%)*危旧房屋改造项目分表!$AF$6:$AF$353)</f>
        <v>0</v>
      </c>
      <c r="M62" s="130">
        <f>IFERROR(SUMPRODUCT((危旧房屋改造项目分表!$AG$6:AH$353="是")*(危旧房屋改造项目分表!$AD$6:AD$353="是")*(危旧房屋改造项目分表!$O$6:$O$353="棚改征收")*(危旧房屋改造项目分表!$V$6:$V$353&gt;=90%)*危旧房屋改造项目分表!$AF$6:$AF$353),"")+SUMPRODUCT((危旧房屋改造项目分表!$AG$6:AH$353="是")*(危旧房屋改造项目分表!$AD$6:AD$353="是")*(危旧房屋改造项目分表!$O$6:$O$353="拆除补偿")*(危旧房屋改造项目分表!$V$6:$V$353&gt;=90%)*危旧房屋改造项目分表!$AF$6:$AF$353)</f>
        <v>0</v>
      </c>
      <c r="N62" s="130">
        <f>SUM($D$62:$M$62)</f>
        <v>0</v>
      </c>
      <c r="O62" s="149" t="str">
        <f>IF(ISERROR(N62/$N$65),"",N62/$N$65)</f>
        <v/>
      </c>
    </row>
    <row r="63" ht="14.85" customHeight="1" spans="1:15">
      <c r="A63" s="145"/>
      <c r="B63" s="129"/>
      <c r="C63" s="129" t="s">
        <v>18</v>
      </c>
      <c r="D63" s="130">
        <f>IFERROR(SUMPRODUCT((危旧房屋改造项目分表!$B$6:$B$353=$D$3)*(危旧房屋改造项目分表!$AD$6:AD$353="是")*(危旧房屋改造项目分表!AG$6:$AG$353="否")*(危旧房屋改造项目分表!$O$6:$O$353="棚改征收")*(危旧房屋改造项目分表!$V$6:$V$353&gt;=90%)*危旧房屋改造项目分表!$K$6:$K$353),"")+SUMPRODUCT((危旧房屋改造项目分表!$B$6:$B$353=$D$3)*(危旧房屋改造项目分表!$AD$6:AD$353="是")*(危旧房屋改造项目分表!AG$6:$AG$353="否")*(危旧房屋改造项目分表!$O$6:$O$353="拆除补偿")*(危旧房屋改造项目分表!$V$6:$V$353&gt;=90%)*危旧房屋改造项目分表!$K$6:$K$353)</f>
        <v>0</v>
      </c>
      <c r="E63" s="130">
        <f>IFERROR(SUMPRODUCT((危旧房屋改造项目分表!$B$6:$B$353=$E$3)*(危旧房屋改造项目分表!$AD$6:AD$353="是")*(危旧房屋改造项目分表!AG$6:$AG$353="否")*(危旧房屋改造项目分表!$O$6:$O$353="棚改征收")*(危旧房屋改造项目分表!$V$6:$V$353&gt;=90%)*危旧房屋改造项目分表!$K$6:$K$353),"")+SUMPRODUCT((危旧房屋改造项目分表!$B$6:$B$353=$E$3)*(危旧房屋改造项目分表!$AD$6:AD$353="是")*(危旧房屋改造项目分表!AG$6:$AG$353="否")*(危旧房屋改造项目分表!$O$6:$O$353="拆除补偿")*(危旧房屋改造项目分表!$V$6:$V$353&gt;=90%)*危旧房屋改造项目分表!$K$6:$K$353)</f>
        <v>0</v>
      </c>
      <c r="F63" s="130">
        <f>IFERROR(SUMPRODUCT((危旧房屋改造项目分表!$B$6:$B$353=$F$3)*(危旧房屋改造项目分表!$AD$6:AD$353="是")*(危旧房屋改造项目分表!AG$6:$AG$353="否")*(危旧房屋改造项目分表!$O$6:$O$353="棚改征收")*(危旧房屋改造项目分表!$V$6:$V$353&gt;=90%)*危旧房屋改造项目分表!$K$6:$K$353),"")+SUMPRODUCT((危旧房屋改造项目分表!$B$6:$B$353=$F$3)*(危旧房屋改造项目分表!$AD$6:AD$353="是")*(危旧房屋改造项目分表!AG$6:$AG$353="否")*(危旧房屋改造项目分表!$O$6:$O$353="拆除补偿")*(危旧房屋改造项目分表!$V$6:$V$353&gt;=90%)*危旧房屋改造项目分表!$K$6:$K$353)</f>
        <v>0</v>
      </c>
      <c r="G63" s="130">
        <f>IFERROR(SUMPRODUCT((危旧房屋改造项目分表!$B$6:$B$353=$G$3)*(危旧房屋改造项目分表!$AD$6:AD$353="是")*(危旧房屋改造项目分表!AG$6:$AG$353="否")*(危旧房屋改造项目分表!$O$6:$O$353="棚改征收")*(危旧房屋改造项目分表!$V$6:$V$353&gt;=90%)*危旧房屋改造项目分表!$K$6:$K$353),"")+SUMPRODUCT((危旧房屋改造项目分表!$B$6:$B$353=$G$3)*(危旧房屋改造项目分表!$AD$6:AD$353="是")*(危旧房屋改造项目分表!AG$6:$AG$353="否")*(危旧房屋改造项目分表!$O$6:$O$353="拆除补偿")*(危旧房屋改造项目分表!$V$6:$V$353&gt;=90%)*危旧房屋改造项目分表!$K$6:$K$353)</f>
        <v>0</v>
      </c>
      <c r="H63" s="130">
        <f>IFERROR(SUMPRODUCT((危旧房屋改造项目分表!$B$6:$B$353=$H$3)*(危旧房屋改造项目分表!$AD$6:AD$353="是")*(危旧房屋改造项目分表!AG$6:$AG$353="否")*(危旧房屋改造项目分表!$O$6:$O$353="棚改征收")*(危旧房屋改造项目分表!$V$6:$V$353&gt;=90%)*危旧房屋改造项目分表!$K$6:$K$353),"")+SUMPRODUCT((危旧房屋改造项目分表!$B$6:$B$353=$H$3)*(危旧房屋改造项目分表!$AD$6:AD$353="是")*(危旧房屋改造项目分表!AG$6:$AG$353="否")*(危旧房屋改造项目分表!$O$6:$O$353="拆除补偿")*(危旧房屋改造项目分表!$V$6:$V$353&gt;=90%)*危旧房屋改造项目分表!$K$6:$K$353)</f>
        <v>0</v>
      </c>
      <c r="I63" s="130">
        <f>IFERROR(SUMPRODUCT((危旧房屋改造项目分表!$B$6:$B$353=$I$3)*(危旧房屋改造项目分表!$AD$6:AD$353="是")*(危旧房屋改造项目分表!AG$6:$AG$353="否")*(危旧房屋改造项目分表!$O$6:$O$353="棚改征收")*(危旧房屋改造项目分表!$V$6:$V$353&gt;=90%)*危旧房屋改造项目分表!$K$6:$K$353),"")+SUMPRODUCT((危旧房屋改造项目分表!$B$6:$B$353=$I$3)*(危旧房屋改造项目分表!$AD$6:AD$353="是")*(危旧房屋改造项目分表!AG$6:$AG$353="否")*(危旧房屋改造项目分表!$O$6:$O$353="拆除补偿")*(危旧房屋改造项目分表!$V$6:$V$353&gt;=90%)*危旧房屋改造项目分表!$K$6:$K$353)</f>
        <v>0</v>
      </c>
      <c r="J63" s="130">
        <f>IFERROR(SUMPRODUCT((危旧房屋改造项目分表!$B$6:$B$353=$J$3)*(危旧房屋改造项目分表!$AD$6:AD$353="是")*(危旧房屋改造项目分表!AG$6:$AG$353="否")*(危旧房屋改造项目分表!$O$6:$O$353="棚改征收")*(危旧房屋改造项目分表!$V$6:$V$353&gt;=90%)*危旧房屋改造项目分表!$K$6:$K$353),"")+SUMPRODUCT((危旧房屋改造项目分表!$B$6:$B$353=$J$3)*(危旧房屋改造项目分表!$AD$6:AD$353="是")*(危旧房屋改造项目分表!AG$6:$AG$353="否")*(危旧房屋改造项目分表!$O$6:$O$353="拆除补偿")*(危旧房屋改造项目分表!$V$6:$V$353&gt;=90%)*危旧房屋改造项目分表!$K$6:$K$353)</f>
        <v>0</v>
      </c>
      <c r="K63" s="130">
        <f>IFERROR(SUMPRODUCT((危旧房屋改造项目分表!$B$6:$B$353=$K$3)*(危旧房屋改造项目分表!$AD$6:AD$353="是")*(危旧房屋改造项目分表!AG$6:$AG$353="否")*(危旧房屋改造项目分表!$O$6:$O$353="棚改征收")*(危旧房屋改造项目分表!$V$6:$V$353&gt;=90%)*危旧房屋改造项目分表!$K$6:$K$353),"")+SUMPRODUCT((危旧房屋改造项目分表!$B$6:$B$353=$K$3)*(危旧房屋改造项目分表!$AD$6:AD$353="是")*(危旧房屋改造项目分表!AG$6:$AG$353="否")*(危旧房屋改造项目分表!$O$6:$O$353="拆除补偿")*(危旧房屋改造项目分表!$V$6:$V$353&gt;=90%)*危旧房屋改造项目分表!$K$6:$K$353)</f>
        <v>0</v>
      </c>
      <c r="L63" s="130">
        <f>IFERROR(SUMPRODUCT((危旧房屋改造项目分表!$B$6:$B$353=$L$3)*(危旧房屋改造项目分表!$AD$6:AD$353="是")*(危旧房屋改造项目分表!AG$6:$AG$353="否")*(危旧房屋改造项目分表!$O$6:$O$353="棚改征收")*(危旧房屋改造项目分表!$V$6:$V$353&gt;=90%)*危旧房屋改造项目分表!$K$6:$K$353),"")+SUMPRODUCT((危旧房屋改造项目分表!$B$6:$B$353=$L$3)*(危旧房屋改造项目分表!$AD$6:AD$353="是")*(危旧房屋改造项目分表!AG$6:$AG$353="否")*(危旧房屋改造项目分表!$O$6:$O$353="拆除补偿")*(危旧房屋改造项目分表!$V$6:$V$353&gt;=90%)*危旧房屋改造项目分表!$K$6:$K$353)</f>
        <v>0</v>
      </c>
      <c r="M63" s="130">
        <f>IFERROR(SUMPRODUCT((危旧房屋改造项目分表!$AG$6:AH$353="是")*(危旧房屋改造项目分表!$AD$6:AD$353="是")*(危旧房屋改造项目分表!$O$6:$O$353="棚改征收")*(危旧房屋改造项目分表!$V$6:$V$353&gt;=90%)*危旧房屋改造项目分表!$K$6:$K$353),"")+SUMPRODUCT((危旧房屋改造项目分表!$AG$6:AH$353="是")*(危旧房屋改造项目分表!$AD$6:AD$353="是")*(危旧房屋改造项目分表!$O$6:$O$353="拆除补偿")*(危旧房屋改造项目分表!$V$6:$V$353&gt;=90%)*危旧房屋改造项目分表!$K$6:$K$353)</f>
        <v>0</v>
      </c>
      <c r="N63" s="130">
        <f>SUM($D$63:$M$63)</f>
        <v>0</v>
      </c>
      <c r="O63" s="149" t="str">
        <f>IF(ISERROR(N63/$N$66),"",N63/$N$66)</f>
        <v/>
      </c>
    </row>
    <row r="64" ht="14.85" customHeight="1" spans="1:15">
      <c r="A64" s="145"/>
      <c r="B64" s="129"/>
      <c r="C64" s="129" t="s">
        <v>19</v>
      </c>
      <c r="D64" s="130">
        <f>IFERROR(SUMPRODUCT((危旧房屋改造项目分表!$B$6:$B$353=$D$3)*(危旧房屋改造项目分表!$AD$6:AD$353="是")*(危旧房屋改造项目分表!AG$6:$AG$353="否")*(危旧房屋改造项目分表!$O$6:$O$353="棚改征收")*(危旧房屋改造项目分表!$V$6:$V$353&gt;=90%)*危旧房屋改造项目分表!$L$6:$L$353),"")+SUMPRODUCT((危旧房屋改造项目分表!$B$6:$B$353=$D$3)*(危旧房屋改造项目分表!$AD$6:AD$353="是")*(危旧房屋改造项目分表!AG$6:$AG$353="否")*(危旧房屋改造项目分表!$O$6:$O$353="拆除补偿")*(危旧房屋改造项目分表!$V$6:$V$353&gt;=90%)*危旧房屋改造项目分表!$L$6:$L$353)</f>
        <v>0</v>
      </c>
      <c r="E64" s="130">
        <f>IFERROR(SUMPRODUCT((危旧房屋改造项目分表!$B$6:$B$353=$E$3)*(危旧房屋改造项目分表!$AD$6:AD$353="是")*(危旧房屋改造项目分表!AG$6:$AG$353="否")*(危旧房屋改造项目分表!$O$6:$O$353="棚改征收")*(危旧房屋改造项目分表!$V$6:$V$353&gt;=90%)*危旧房屋改造项目分表!$L$6:$L$353),"")+SUMPRODUCT((危旧房屋改造项目分表!$B$6:$B$353=$E$3)*(危旧房屋改造项目分表!$AD$6:AD$353="是")*(危旧房屋改造项目分表!AG$6:$AG$353="否")*(危旧房屋改造项目分表!$O$6:$O$353="拆除补偿")*(危旧房屋改造项目分表!$V$6:$V$353&gt;=90%)*危旧房屋改造项目分表!$L$6:$L$353)</f>
        <v>0</v>
      </c>
      <c r="F64" s="130">
        <f>IFERROR(SUMPRODUCT((危旧房屋改造项目分表!$B$6:$B$353=$F$3)*(危旧房屋改造项目分表!$AD$6:AD$353="是")*(危旧房屋改造项目分表!AG$6:$AG$353="否")*(危旧房屋改造项目分表!$O$6:$O$353="棚改征收")*(危旧房屋改造项目分表!$V$6:$V$353&gt;=90%)*危旧房屋改造项目分表!$L$6:$L$353),"")+SUMPRODUCT((危旧房屋改造项目分表!$B$6:$B$353=$F$3)*(危旧房屋改造项目分表!$AD$6:AD$353="是")*(危旧房屋改造项目分表!AG$6:$AG$353="否")*(危旧房屋改造项目分表!$O$6:$O$353="拆除补偿")*(危旧房屋改造项目分表!$V$6:$V$353&gt;=90%)*危旧房屋改造项目分表!$L$6:$L$353)</f>
        <v>0</v>
      </c>
      <c r="G64" s="130">
        <f>IFERROR(SUMPRODUCT((危旧房屋改造项目分表!$B$6:$B$353=$G$3)*(危旧房屋改造项目分表!$AD$6:AD$353="是")*(危旧房屋改造项目分表!AG$6:$AG$353="否")*(危旧房屋改造项目分表!$O$6:$O$353="棚改征收")*(危旧房屋改造项目分表!$V$6:$V$353&gt;=90%)*危旧房屋改造项目分表!$L$6:$L$353),"")+SUMPRODUCT((危旧房屋改造项目分表!$B$6:$B$353=$G$3)*(危旧房屋改造项目分表!$AD$6:AD$353="是")*(危旧房屋改造项目分表!AG$6:$AG$353="否")*(危旧房屋改造项目分表!$O$6:$O$353="拆除补偿")*(危旧房屋改造项目分表!$V$6:$V$353&gt;=90%)*危旧房屋改造项目分表!$L$6:$L$353)</f>
        <v>0</v>
      </c>
      <c r="H64" s="130">
        <f>IFERROR(SUMPRODUCT((危旧房屋改造项目分表!$B$6:$B$353=$H$3)*(危旧房屋改造项目分表!$AD$6:AD$353="是")*(危旧房屋改造项目分表!AG$6:$AG$353="否")*(危旧房屋改造项目分表!$O$6:$O$353="棚改征收")*(危旧房屋改造项目分表!$V$6:$V$353&gt;=90%)*危旧房屋改造项目分表!$L$6:$L$353),"")+SUMPRODUCT((危旧房屋改造项目分表!$B$6:$B$353=$H$3)*(危旧房屋改造项目分表!$AD$6:AD$353="是")*(危旧房屋改造项目分表!AG$6:$AG$353="否")*(危旧房屋改造项目分表!$O$6:$O$353="拆除补偿")*(危旧房屋改造项目分表!$V$6:$V$353&gt;=90%)*危旧房屋改造项目分表!$L$6:$L$353)</f>
        <v>0</v>
      </c>
      <c r="I64" s="130">
        <f>IFERROR(SUMPRODUCT((危旧房屋改造项目分表!$B$6:$B$353=$I$3)*(危旧房屋改造项目分表!$AD$6:AD$353="是")*(危旧房屋改造项目分表!AG$6:$AG$353="否")*(危旧房屋改造项目分表!$O$6:$O$353="棚改征收")*(危旧房屋改造项目分表!$V$6:$V$353&gt;=90%)*危旧房屋改造项目分表!$L$6:$L$353),"")+SUMPRODUCT((危旧房屋改造项目分表!$B$6:$B$353=$I$3)*(危旧房屋改造项目分表!$AD$6:AD$353="是")*(危旧房屋改造项目分表!AG$6:$AG$353="否")*(危旧房屋改造项目分表!$O$6:$O$353="拆除补偿")*(危旧房屋改造项目分表!$V$6:$V$353&gt;=90%)*危旧房屋改造项目分表!$L$6:$L$353)</f>
        <v>0</v>
      </c>
      <c r="J64" s="130">
        <f>IFERROR(SUMPRODUCT((危旧房屋改造项目分表!$B$6:$B$353=$J$3)*(危旧房屋改造项目分表!$AD$6:AD$353="是")*(危旧房屋改造项目分表!AG$6:$AG$353="否")*(危旧房屋改造项目分表!$O$6:$O$353="棚改征收")*(危旧房屋改造项目分表!$V$6:$V$353&gt;=90%)*危旧房屋改造项目分表!$L$6:$L$353),"")+SUMPRODUCT((危旧房屋改造项目分表!$B$6:$B$353=$J$3)*(危旧房屋改造项目分表!$AD$6:AD$353="是")*(危旧房屋改造项目分表!AG$6:$AG$353="否")*(危旧房屋改造项目分表!$O$6:$O$353="拆除补偿")*(危旧房屋改造项目分表!$V$6:$V$353&gt;=90%)*危旧房屋改造项目分表!$L$6:$L$353)</f>
        <v>0</v>
      </c>
      <c r="K64" s="130">
        <f>IFERROR(SUMPRODUCT((危旧房屋改造项目分表!$B$6:$B$353=$K$3)*(危旧房屋改造项目分表!$AD$6:AD$353="是")*(危旧房屋改造项目分表!AG$6:$AG$353="否")*(危旧房屋改造项目分表!$O$6:$O$353="棚改征收")*(危旧房屋改造项目分表!$V$6:$V$353&gt;=90%)*危旧房屋改造项目分表!$L$6:$L$353),"")+SUMPRODUCT((危旧房屋改造项目分表!$B$6:$B$353=$K$3)*(危旧房屋改造项目分表!$AD$6:AD$353="是")*(危旧房屋改造项目分表!AG$6:$AG$353="否")*(危旧房屋改造项目分表!$O$6:$O$353="拆除补偿")*(危旧房屋改造项目分表!$V$6:$V$353&gt;=90%)*危旧房屋改造项目分表!$L$6:$L$353)</f>
        <v>0</v>
      </c>
      <c r="L64" s="130">
        <f>IFERROR(SUMPRODUCT((危旧房屋改造项目分表!$B$6:$B$353=$L$3)*(危旧房屋改造项目分表!$AD$6:AD$353="是")*(危旧房屋改造项目分表!AG$6:$AG$353="否")*(危旧房屋改造项目分表!$O$6:$O$353="棚改征收")*(危旧房屋改造项目分表!$V$6:$V$353&gt;=90%)*危旧房屋改造项目分表!$L$6:$L$353),"")+SUMPRODUCT((危旧房屋改造项目分表!$B$6:$B$353=$L$3)*(危旧房屋改造项目分表!$AD$6:AD$353="是")*(危旧房屋改造项目分表!AG$6:$AG$353="否")*(危旧房屋改造项目分表!$O$6:$O$353="拆除补偿")*(危旧房屋改造项目分表!$V$6:$V$353&gt;=90%)*危旧房屋改造项目分表!$L$6:$L$353)</f>
        <v>0</v>
      </c>
      <c r="M64" s="130">
        <f>IFERROR(SUMPRODUCT((危旧房屋改造项目分表!$AG$6:AH$353="是")*(危旧房屋改造项目分表!$AD$6:AD$353="是")*(危旧房屋改造项目分表!$O$6:$O$353="棚改征收")*(危旧房屋改造项目分表!$V$6:$V$353&gt;=90%)*危旧房屋改造项目分表!$L$6:$L$353),"")+SUMPRODUCT((危旧房屋改造项目分表!$AG$6:AH$353="是")*(危旧房屋改造项目分表!$AD$6:AD$353="是")*(危旧房屋改造项目分表!$O$6:$O$353="拆除补偿")*(危旧房屋改造项目分表!$V$6:$V$353&gt;=90%)*危旧房屋改造项目分表!$L$6:$L$353)</f>
        <v>0</v>
      </c>
      <c r="N64" s="130">
        <f>SUM($D$64:$M$64)</f>
        <v>0</v>
      </c>
      <c r="O64" s="149" t="str">
        <f>IF(ISERROR(N64/$N$67),"",N64/$N$67)</f>
        <v/>
      </c>
    </row>
    <row r="65" ht="14.85" customHeight="1" spans="1:15">
      <c r="A65" s="145"/>
      <c r="B65" s="129" t="s">
        <v>26</v>
      </c>
      <c r="C65" s="129" t="s">
        <v>17</v>
      </c>
      <c r="D65" s="141">
        <f t="shared" ref="D65:M65" si="9">D56+D59+D62+D53</f>
        <v>0</v>
      </c>
      <c r="E65" s="141">
        <f t="shared" si="9"/>
        <v>0</v>
      </c>
      <c r="F65" s="141">
        <f t="shared" si="9"/>
        <v>0</v>
      </c>
      <c r="G65" s="141">
        <f t="shared" si="9"/>
        <v>0</v>
      </c>
      <c r="H65" s="141">
        <f t="shared" si="9"/>
        <v>0</v>
      </c>
      <c r="I65" s="141">
        <f t="shared" si="9"/>
        <v>0</v>
      </c>
      <c r="J65" s="141">
        <f t="shared" si="9"/>
        <v>0</v>
      </c>
      <c r="K65" s="141">
        <f t="shared" si="9"/>
        <v>0</v>
      </c>
      <c r="L65" s="141">
        <f t="shared" si="9"/>
        <v>0</v>
      </c>
      <c r="M65" s="141">
        <f t="shared" si="9"/>
        <v>0</v>
      </c>
      <c r="N65" s="130">
        <f>SUM($D$65:$M$65)</f>
        <v>0</v>
      </c>
      <c r="O65" s="149" t="str">
        <f>IF(ISERROR(N65/$N$4),"",N65/$N$4)</f>
        <v/>
      </c>
    </row>
    <row r="66" ht="14.85" customHeight="1" spans="1:15">
      <c r="A66" s="145"/>
      <c r="B66" s="129"/>
      <c r="C66" s="129" t="s">
        <v>18</v>
      </c>
      <c r="D66" s="141">
        <f t="shared" ref="D66:M66" si="10">D57+D60+D63+D54</f>
        <v>0</v>
      </c>
      <c r="E66" s="141">
        <f t="shared" si="10"/>
        <v>0</v>
      </c>
      <c r="F66" s="141">
        <f t="shared" si="10"/>
        <v>0</v>
      </c>
      <c r="G66" s="141">
        <f t="shared" si="10"/>
        <v>0</v>
      </c>
      <c r="H66" s="141">
        <f t="shared" si="10"/>
        <v>0</v>
      </c>
      <c r="I66" s="141">
        <f t="shared" si="10"/>
        <v>0</v>
      </c>
      <c r="J66" s="141">
        <f t="shared" si="10"/>
        <v>0</v>
      </c>
      <c r="K66" s="141">
        <f t="shared" si="10"/>
        <v>0</v>
      </c>
      <c r="L66" s="141">
        <f t="shared" si="10"/>
        <v>0</v>
      </c>
      <c r="M66" s="141">
        <f t="shared" si="10"/>
        <v>0</v>
      </c>
      <c r="N66" s="130">
        <f>SUM($D$66:$M$66)</f>
        <v>0</v>
      </c>
      <c r="O66" s="149" t="str">
        <f>IF(ISERROR(N66/$N$5),"",N66/$N$5)</f>
        <v/>
      </c>
    </row>
    <row r="67" ht="14.85" customHeight="1" spans="1:15">
      <c r="A67" s="150"/>
      <c r="B67" s="129"/>
      <c r="C67" s="129" t="s">
        <v>19</v>
      </c>
      <c r="D67" s="143">
        <f t="shared" ref="D67:M67" si="11">D58+D61+D64+D55</f>
        <v>0</v>
      </c>
      <c r="E67" s="143">
        <f t="shared" si="11"/>
        <v>0</v>
      </c>
      <c r="F67" s="143">
        <f t="shared" si="11"/>
        <v>0</v>
      </c>
      <c r="G67" s="143">
        <f t="shared" si="11"/>
        <v>0</v>
      </c>
      <c r="H67" s="143">
        <f t="shared" si="11"/>
        <v>0</v>
      </c>
      <c r="I67" s="143">
        <f t="shared" si="11"/>
        <v>0</v>
      </c>
      <c r="J67" s="143">
        <f t="shared" si="11"/>
        <v>0</v>
      </c>
      <c r="K67" s="143">
        <f t="shared" si="11"/>
        <v>0</v>
      </c>
      <c r="L67" s="143">
        <f t="shared" si="11"/>
        <v>0</v>
      </c>
      <c r="M67" s="143">
        <f t="shared" si="11"/>
        <v>0</v>
      </c>
      <c r="N67" s="130">
        <f t="shared" ref="N67:N81" si="12">SUM(D67:M67)</f>
        <v>0</v>
      </c>
      <c r="O67" s="149" t="str">
        <f>IF(ISERROR(N67/$N$6),"",N67/$N$6)</f>
        <v/>
      </c>
    </row>
    <row r="68" ht="14.85" customHeight="1" spans="1:15">
      <c r="A68" s="151" t="s">
        <v>33</v>
      </c>
      <c r="B68" s="136"/>
      <c r="C68" s="140" t="s">
        <v>17</v>
      </c>
      <c r="D68" s="130">
        <f t="shared" ref="D68:M68" si="13">D41+D26+D11+D56</f>
        <v>0</v>
      </c>
      <c r="E68" s="130">
        <f t="shared" si="13"/>
        <v>0</v>
      </c>
      <c r="F68" s="130">
        <f t="shared" si="13"/>
        <v>0</v>
      </c>
      <c r="G68" s="130">
        <f t="shared" si="13"/>
        <v>0</v>
      </c>
      <c r="H68" s="130">
        <f t="shared" si="13"/>
        <v>0</v>
      </c>
      <c r="I68" s="130">
        <f t="shared" si="13"/>
        <v>0</v>
      </c>
      <c r="J68" s="130">
        <f t="shared" si="13"/>
        <v>0</v>
      </c>
      <c r="K68" s="130">
        <f t="shared" si="13"/>
        <v>0</v>
      </c>
      <c r="L68" s="130">
        <f t="shared" si="13"/>
        <v>0</v>
      </c>
      <c r="M68" s="130">
        <f t="shared" si="13"/>
        <v>0</v>
      </c>
      <c r="N68" s="130">
        <f t="shared" si="12"/>
        <v>0</v>
      </c>
      <c r="O68" s="149" t="str">
        <f t="shared" ref="O68:O70" si="14">IF(ISERROR(N68/N4),"",N68/N4)</f>
        <v/>
      </c>
    </row>
    <row r="69" ht="14.85" customHeight="1" spans="1:15">
      <c r="A69" s="152"/>
      <c r="B69" s="138"/>
      <c r="C69" s="140" t="s">
        <v>18</v>
      </c>
      <c r="D69" s="130">
        <f t="shared" ref="D69:M69" si="15">D42+D27+D12+D57</f>
        <v>0</v>
      </c>
      <c r="E69" s="130">
        <f t="shared" si="15"/>
        <v>0</v>
      </c>
      <c r="F69" s="130">
        <f t="shared" si="15"/>
        <v>0</v>
      </c>
      <c r="G69" s="130">
        <f t="shared" si="15"/>
        <v>0</v>
      </c>
      <c r="H69" s="130">
        <f t="shared" si="15"/>
        <v>0</v>
      </c>
      <c r="I69" s="130">
        <f t="shared" si="15"/>
        <v>0</v>
      </c>
      <c r="J69" s="130">
        <f t="shared" si="15"/>
        <v>0</v>
      </c>
      <c r="K69" s="130">
        <f t="shared" si="15"/>
        <v>0</v>
      </c>
      <c r="L69" s="130">
        <f t="shared" si="15"/>
        <v>0</v>
      </c>
      <c r="M69" s="130">
        <f t="shared" si="15"/>
        <v>0</v>
      </c>
      <c r="N69" s="130">
        <f t="shared" si="12"/>
        <v>0</v>
      </c>
      <c r="O69" s="149" t="str">
        <f t="shared" si="14"/>
        <v/>
      </c>
    </row>
    <row r="70" ht="14.85" customHeight="1" spans="1:15">
      <c r="A70" s="153"/>
      <c r="B70" s="139"/>
      <c r="C70" s="140" t="s">
        <v>19</v>
      </c>
      <c r="D70" s="130">
        <f t="shared" ref="D70:M70" si="16">D43+D28+D13+D58</f>
        <v>0</v>
      </c>
      <c r="E70" s="130">
        <f t="shared" si="16"/>
        <v>0</v>
      </c>
      <c r="F70" s="130">
        <f t="shared" si="16"/>
        <v>0</v>
      </c>
      <c r="G70" s="130">
        <f t="shared" si="16"/>
        <v>0</v>
      </c>
      <c r="H70" s="130">
        <f t="shared" si="16"/>
        <v>0</v>
      </c>
      <c r="I70" s="130">
        <f t="shared" si="16"/>
        <v>0</v>
      </c>
      <c r="J70" s="130">
        <f t="shared" si="16"/>
        <v>0</v>
      </c>
      <c r="K70" s="130">
        <f t="shared" si="16"/>
        <v>0</v>
      </c>
      <c r="L70" s="130">
        <f t="shared" si="16"/>
        <v>0</v>
      </c>
      <c r="M70" s="130">
        <f t="shared" si="16"/>
        <v>0</v>
      </c>
      <c r="N70" s="130">
        <f t="shared" si="12"/>
        <v>0</v>
      </c>
      <c r="O70" s="149" t="str">
        <f t="shared" si="14"/>
        <v/>
      </c>
    </row>
    <row r="71" ht="14.85" customHeight="1" spans="1:15">
      <c r="A71" s="144" t="s">
        <v>34</v>
      </c>
      <c r="B71" s="129" t="s">
        <v>35</v>
      </c>
      <c r="C71" s="140" t="s">
        <v>17</v>
      </c>
      <c r="D71" s="130">
        <f t="shared" ref="D71:M71" si="17">D14+D29+D59+D56+D44</f>
        <v>0</v>
      </c>
      <c r="E71" s="130">
        <f t="shared" si="17"/>
        <v>0</v>
      </c>
      <c r="F71" s="130">
        <f t="shared" si="17"/>
        <v>0</v>
      </c>
      <c r="G71" s="130">
        <f t="shared" si="17"/>
        <v>0</v>
      </c>
      <c r="H71" s="130">
        <f t="shared" si="17"/>
        <v>0</v>
      </c>
      <c r="I71" s="130">
        <f t="shared" si="17"/>
        <v>0</v>
      </c>
      <c r="J71" s="130">
        <f t="shared" si="17"/>
        <v>0</v>
      </c>
      <c r="K71" s="130">
        <f t="shared" si="17"/>
        <v>0</v>
      </c>
      <c r="L71" s="130">
        <f t="shared" si="17"/>
        <v>0</v>
      </c>
      <c r="M71" s="130">
        <f t="shared" si="17"/>
        <v>0</v>
      </c>
      <c r="N71" s="130">
        <f t="shared" si="12"/>
        <v>0</v>
      </c>
      <c r="O71" s="149" t="str">
        <f>IF(ISERROR(N71/$N$4),"",N71/$N$4)</f>
        <v/>
      </c>
    </row>
    <row r="72" ht="14.85" customHeight="1" spans="1:15">
      <c r="A72" s="145"/>
      <c r="B72" s="129"/>
      <c r="C72" s="140" t="s">
        <v>18</v>
      </c>
      <c r="D72" s="130">
        <f t="shared" ref="D72:M72" si="18">D15+D30+D60+D57+D45</f>
        <v>0</v>
      </c>
      <c r="E72" s="130">
        <f t="shared" si="18"/>
        <v>0</v>
      </c>
      <c r="F72" s="130">
        <f t="shared" si="18"/>
        <v>0</v>
      </c>
      <c r="G72" s="130">
        <f t="shared" si="18"/>
        <v>0</v>
      </c>
      <c r="H72" s="130">
        <f t="shared" si="18"/>
        <v>0</v>
      </c>
      <c r="I72" s="130">
        <f t="shared" si="18"/>
        <v>0</v>
      </c>
      <c r="J72" s="130">
        <f t="shared" si="18"/>
        <v>0</v>
      </c>
      <c r="K72" s="130">
        <f t="shared" si="18"/>
        <v>0</v>
      </c>
      <c r="L72" s="130">
        <f t="shared" si="18"/>
        <v>0</v>
      </c>
      <c r="M72" s="130">
        <f t="shared" si="18"/>
        <v>0</v>
      </c>
      <c r="N72" s="130">
        <f t="shared" si="12"/>
        <v>0</v>
      </c>
      <c r="O72" s="149" t="str">
        <f>IF(ISERROR(N72/$N$5),"",N72/$N$5)</f>
        <v/>
      </c>
    </row>
    <row r="73" ht="14.85" customHeight="1" spans="1:15">
      <c r="A73" s="145"/>
      <c r="B73" s="129"/>
      <c r="C73" s="140" t="s">
        <v>19</v>
      </c>
      <c r="D73" s="130">
        <f t="shared" ref="D73:M73" si="19">D16+D31+D61+D58+D46</f>
        <v>0</v>
      </c>
      <c r="E73" s="130">
        <f t="shared" si="19"/>
        <v>0</v>
      </c>
      <c r="F73" s="130">
        <f t="shared" si="19"/>
        <v>0</v>
      </c>
      <c r="G73" s="130">
        <f t="shared" si="19"/>
        <v>0</v>
      </c>
      <c r="H73" s="130">
        <f t="shared" si="19"/>
        <v>0</v>
      </c>
      <c r="I73" s="130">
        <f t="shared" si="19"/>
        <v>0</v>
      </c>
      <c r="J73" s="130">
        <f t="shared" si="19"/>
        <v>0</v>
      </c>
      <c r="K73" s="130">
        <f t="shared" si="19"/>
        <v>0</v>
      </c>
      <c r="L73" s="130">
        <f t="shared" si="19"/>
        <v>0</v>
      </c>
      <c r="M73" s="130">
        <f t="shared" si="19"/>
        <v>0</v>
      </c>
      <c r="N73" s="130">
        <f t="shared" si="12"/>
        <v>0</v>
      </c>
      <c r="O73" s="149" t="str">
        <f>IF(ISERROR(N73/$N$6),"",N73/$N$6)</f>
        <v/>
      </c>
    </row>
    <row r="74" ht="14.85" customHeight="1" spans="1:15">
      <c r="A74" s="145"/>
      <c r="B74" s="154" t="s">
        <v>36</v>
      </c>
      <c r="C74" s="140" t="s">
        <v>17</v>
      </c>
      <c r="D74" s="130">
        <f t="shared" ref="D74:M74" si="20">D17+D32+D62+D47</f>
        <v>0</v>
      </c>
      <c r="E74" s="130">
        <f t="shared" si="20"/>
        <v>0</v>
      </c>
      <c r="F74" s="130">
        <f t="shared" si="20"/>
        <v>0</v>
      </c>
      <c r="G74" s="130">
        <f t="shared" si="20"/>
        <v>0</v>
      </c>
      <c r="H74" s="130">
        <f t="shared" si="20"/>
        <v>0</v>
      </c>
      <c r="I74" s="130">
        <f t="shared" si="20"/>
        <v>0</v>
      </c>
      <c r="J74" s="130">
        <f t="shared" si="20"/>
        <v>0</v>
      </c>
      <c r="K74" s="130">
        <f t="shared" si="20"/>
        <v>0</v>
      </c>
      <c r="L74" s="130">
        <f t="shared" si="20"/>
        <v>0</v>
      </c>
      <c r="M74" s="130">
        <f t="shared" si="20"/>
        <v>0</v>
      </c>
      <c r="N74" s="130">
        <f t="shared" si="12"/>
        <v>0</v>
      </c>
      <c r="O74" s="149" t="str">
        <f>IF(ISERROR(N74/$N$4),"",N74/$N$4)</f>
        <v/>
      </c>
    </row>
    <row r="75" ht="14.85" customHeight="1" spans="1:15">
      <c r="A75" s="145"/>
      <c r="B75" s="155"/>
      <c r="C75" s="140" t="s">
        <v>18</v>
      </c>
      <c r="D75" s="130">
        <f t="shared" ref="D75:M75" si="21">D18+D33+D63+D48</f>
        <v>0</v>
      </c>
      <c r="E75" s="130">
        <f t="shared" si="21"/>
        <v>0</v>
      </c>
      <c r="F75" s="130">
        <f t="shared" si="21"/>
        <v>0</v>
      </c>
      <c r="G75" s="130">
        <f t="shared" si="21"/>
        <v>0</v>
      </c>
      <c r="H75" s="130">
        <f t="shared" si="21"/>
        <v>0</v>
      </c>
      <c r="I75" s="130">
        <f t="shared" si="21"/>
        <v>0</v>
      </c>
      <c r="J75" s="130">
        <f t="shared" si="21"/>
        <v>0</v>
      </c>
      <c r="K75" s="130">
        <f t="shared" si="21"/>
        <v>0</v>
      </c>
      <c r="L75" s="130">
        <f t="shared" si="21"/>
        <v>0</v>
      </c>
      <c r="M75" s="130">
        <f t="shared" si="21"/>
        <v>0</v>
      </c>
      <c r="N75" s="130">
        <f t="shared" si="12"/>
        <v>0</v>
      </c>
      <c r="O75" s="149" t="str">
        <f>IF(ISERROR(N75/$N$5),"",N75/$N$5)</f>
        <v/>
      </c>
    </row>
    <row r="76" ht="14.85" customHeight="1" spans="1:15">
      <c r="A76" s="145"/>
      <c r="B76" s="155"/>
      <c r="C76" s="140" t="s">
        <v>19</v>
      </c>
      <c r="D76" s="130">
        <f t="shared" ref="D76:M76" si="22">D19+D34+D64+D49</f>
        <v>0</v>
      </c>
      <c r="E76" s="130">
        <f t="shared" si="22"/>
        <v>0</v>
      </c>
      <c r="F76" s="130">
        <f t="shared" si="22"/>
        <v>0</v>
      </c>
      <c r="G76" s="130">
        <f t="shared" si="22"/>
        <v>0</v>
      </c>
      <c r="H76" s="130">
        <f t="shared" si="22"/>
        <v>0</v>
      </c>
      <c r="I76" s="143">
        <f t="shared" si="22"/>
        <v>0</v>
      </c>
      <c r="J76" s="130">
        <f t="shared" si="22"/>
        <v>0</v>
      </c>
      <c r="K76" s="143">
        <f t="shared" si="22"/>
        <v>0</v>
      </c>
      <c r="L76" s="130">
        <f t="shared" si="22"/>
        <v>0</v>
      </c>
      <c r="M76" s="130">
        <f t="shared" si="22"/>
        <v>0</v>
      </c>
      <c r="N76" s="130">
        <f t="shared" si="12"/>
        <v>0</v>
      </c>
      <c r="O76" s="149" t="str">
        <f>IF(ISERROR(N76/$N$6),"",N76/$N$6)</f>
        <v/>
      </c>
    </row>
    <row r="77" ht="14.85" customHeight="1" spans="1:15">
      <c r="A77" s="145"/>
      <c r="B77" s="156"/>
      <c r="C77" s="140" t="s">
        <v>37</v>
      </c>
      <c r="D77" s="143">
        <f>SUMIFS(危旧房屋改造项目分表!$AC$6:$AC$353,危旧房屋改造项目分表!$B$6:$B$353,"芙蓉区",危旧房屋改造项目分表!$AD$6:AD$353,"是",危旧房屋改造项目分表!$AG$6:$AG$353,"否",危旧房屋改造项目分表!$V$6:$V$353,"&gt;=90%")+SUMIFS(危旧房屋改造项目分表!$AC$6:$AC$353,危旧房屋改造项目分表!$B$6:$B$353,"芙蓉区",危旧房屋改造项目分表!$AD$6:AD$353,"是",危旧房屋改造项目分表!$AG$6:$AG$353,"否",危旧房屋改造项目分表!$AB$6:$AB$353,"&gt;=90%")</f>
        <v>0</v>
      </c>
      <c r="E77" s="143">
        <f>SUMIFS(危旧房屋改造项目分表!$AC$6:$AC$353,危旧房屋改造项目分表!$B$6:$B$353,"天心区",危旧房屋改造项目分表!$AD$6:AD$353,"是",危旧房屋改造项目分表!$AG$6:$AG$353,"否",危旧房屋改造项目分表!$V$6:$V$353,"&gt;=90%")+SUMIFS(危旧房屋改造项目分表!$AC$6:$AC$353,危旧房屋改造项目分表!$B$6:$B$353,"天心区",危旧房屋改造项目分表!$AD$6:AD$353,"是",危旧房屋改造项目分表!$AG$6:$AG$353,"否",危旧房屋改造项目分表!$AB$6:$AB$353,"&gt;=90%")</f>
        <v>0</v>
      </c>
      <c r="F77" s="143">
        <f>SUMIFS(危旧房屋改造项目分表!$AC$6:$AC$353,危旧房屋改造项目分表!$B$6:$B$353,"岳麓区",危旧房屋改造项目分表!$AD$6:AD$353,"是",危旧房屋改造项目分表!$AG$6:$AG$353,"否",危旧房屋改造项目分表!$V$6:$V$353,"&gt;=90%")+SUMIFS(危旧房屋改造项目分表!$AC$6:$AC$353,危旧房屋改造项目分表!$B$6:$B$353,"岳麓区",危旧房屋改造项目分表!$AD$6:AD$353,"是",危旧房屋改造项目分表!$AG$6:$AG$353,"否",危旧房屋改造项目分表!$AB$6:$AB$353,"&gt;=90%")</f>
        <v>0</v>
      </c>
      <c r="G77" s="143">
        <f>SUMIFS(危旧房屋改造项目分表!$AC$6:$AC$353,危旧房屋改造项目分表!$B$6:$B$353,"开福区",危旧房屋改造项目分表!$AD$6:AD$353,"是",危旧房屋改造项目分表!$AG$6:$AG$353,"否",危旧房屋改造项目分表!$V$6:$V$353,"&gt;=90%")+SUMIFS(危旧房屋改造项目分表!$AC$6:$AC$353,危旧房屋改造项目分表!$B$6:$B$353,"开福区",危旧房屋改造项目分表!$AD$6:AD$353,"是",危旧房屋改造项目分表!$AG$6:$AG$353,"否",危旧房屋改造项目分表!$AB$6:$AB$353,"&gt;=90%")</f>
        <v>0</v>
      </c>
      <c r="H77" s="143">
        <f>SUMIFS(危旧房屋改造项目分表!$AC$6:$AC$353,危旧房屋改造项目分表!$B$6:$B$353,"雨花区",危旧房屋改造项目分表!$AD$6:AD$353,"是",危旧房屋改造项目分表!$AG$6:$AG$353,"否",危旧房屋改造项目分表!$V$6:$V$353,"&gt;=90%")+SUMIFS(危旧房屋改造项目分表!$AC$6:$AC$353,危旧房屋改造项目分表!$B$6:$B$353,"雨花区",危旧房屋改造项目分表!$AD$6:AD$353,"是",危旧房屋改造项目分表!$AG$6:$AG$353,"否",危旧房屋改造项目分表!$AB$6:$AB$353,"&gt;=90%")</f>
        <v>0</v>
      </c>
      <c r="I77" s="143">
        <f>SUMIFS(危旧房屋改造项目分表!$AC$6:$AC$353,危旧房屋改造项目分表!$B$6:$B$353,"长沙县",危旧房屋改造项目分表!$AD$6:AD$353,"是",危旧房屋改造项目分表!$AG$6:$AG$353,"否",危旧房屋改造项目分表!$V$6:$V$353,"&gt;=90%")+SUMIFS(危旧房屋改造项目分表!$AC$6:$AC$353,危旧房屋改造项目分表!$B$6:$B$353,"长沙县",危旧房屋改造项目分表!$AD$6:AD$353,"是",危旧房屋改造项目分表!$AG$6:$AG$353,"否",危旧房屋改造项目分表!$AB$6:$AB$353,"&gt;=90%")</f>
        <v>0</v>
      </c>
      <c r="J77" s="143">
        <f>SUMIFS(危旧房屋改造项目分表!$AC$6:$AC$353,危旧房屋改造项目分表!$B$6:$B$353,"望城区",危旧房屋改造项目分表!$AD$6:AD$353,"是",危旧房屋改造项目分表!$AG$6:$AG$353,"否",危旧房屋改造项目分表!$V$6:$V$353,"&gt;=90%")+SUMIFS(危旧房屋改造项目分表!$AC$6:$AC$353,危旧房屋改造项目分表!$B$6:$B$353,"望城区",危旧房屋改造项目分表!$AD$6:AD$353,"是",危旧房屋改造项目分表!$AG$6:$AG$353,"否",危旧房屋改造项目分表!$AB$6:$AB$353,"&gt;=90%")</f>
        <v>0</v>
      </c>
      <c r="K77" s="143">
        <f>SUMIFS(危旧房屋改造项目分表!$AC$6:$AC$353,危旧房屋改造项目分表!$B$6:$B$353,"浏阳市",危旧房屋改造项目分表!$AD$6:AD$353,"是",危旧房屋改造项目分表!$AG$6:$AG$353,"否",危旧房屋改造项目分表!$V$6:$V$353,"&gt;=90%")+SUMIFS(危旧房屋改造项目分表!$AC$6:$AC$353,危旧房屋改造项目分表!$B$6:$B$353,"浏阳市",危旧房屋改造项目分表!$AD$6:AD$353,"是",危旧房屋改造项目分表!$AG$6:$AG$353,"否",危旧房屋改造项目分表!$AB$6:$AB$353,"&gt;=90%")</f>
        <v>0</v>
      </c>
      <c r="L77" s="143">
        <f>SUMIFS(危旧房屋改造项目分表!$AC$6:$AC$353,危旧房屋改造项目分表!$B$6:$B$353,"宁乡市",危旧房屋改造项目分表!$AD$6:AD$353,"是",危旧房屋改造项目分表!$AG$6:$AG$353,"否",危旧房屋改造项目分表!$V$6:$V$353,"&gt;=90%")+SUMIFS(危旧房屋改造项目分表!$AC$6:$AC$353,危旧房屋改造项目分表!$B$6:$B$353,"宁乡市",危旧房屋改造项目分表!$AD$6:AD$353,"是",危旧房屋改造项目分表!$AG$6:$AG$353,"否",危旧房屋改造项目分表!$AB$6:$AB$353,"&gt;=90%")</f>
        <v>0</v>
      </c>
      <c r="M77" s="143">
        <f>SUMIFS(危旧房屋改造项目分表!$AC$6:$AC$353,危旧房屋改造项目分表!$AG$6:$AG$353,"是",危旧房屋改造项目分表!$AD$6:AD$353,"是",危旧房屋改造项目分表!$V$6:$V$353,"&gt;=90%")+SUMIFS(危旧房屋改造项目分表!$AC$6:$AC$353,危旧房屋改造项目分表!$AG$6:$AG$353,"是",危旧房屋改造项目分表!$AD$6:AD$353,"是",危旧房屋改造项目分表!$AB$6:$AB$353,"&gt;=90%")</f>
        <v>0</v>
      </c>
      <c r="N77" s="130">
        <f t="shared" si="12"/>
        <v>0</v>
      </c>
      <c r="O77" s="149" t="str">
        <f>IF(ISERROR(N77/$N$7),"",N77/$N$7)</f>
        <v/>
      </c>
    </row>
    <row r="78" ht="14.85" customHeight="1" spans="1:15">
      <c r="A78" s="145"/>
      <c r="B78" s="129" t="s">
        <v>14</v>
      </c>
      <c r="C78" s="140" t="s">
        <v>17</v>
      </c>
      <c r="D78" s="141">
        <f t="shared" ref="D78:M78" si="23">D71+D74</f>
        <v>0</v>
      </c>
      <c r="E78" s="141">
        <f t="shared" si="23"/>
        <v>0</v>
      </c>
      <c r="F78" s="141">
        <f t="shared" si="23"/>
        <v>0</v>
      </c>
      <c r="G78" s="141">
        <f t="shared" si="23"/>
        <v>0</v>
      </c>
      <c r="H78" s="141">
        <f t="shared" si="23"/>
        <v>0</v>
      </c>
      <c r="I78" s="141">
        <f t="shared" si="23"/>
        <v>0</v>
      </c>
      <c r="J78" s="141">
        <f t="shared" si="23"/>
        <v>0</v>
      </c>
      <c r="K78" s="141">
        <f t="shared" si="23"/>
        <v>0</v>
      </c>
      <c r="L78" s="141">
        <f t="shared" si="23"/>
        <v>0</v>
      </c>
      <c r="M78" s="141">
        <f t="shared" si="23"/>
        <v>0</v>
      </c>
      <c r="N78" s="130">
        <f t="shared" si="12"/>
        <v>0</v>
      </c>
      <c r="O78" s="149" t="str">
        <f t="shared" ref="O78:O81" si="24">IF(ISERROR(N78/N4),"",N78/N4)</f>
        <v/>
      </c>
    </row>
    <row r="79" ht="14.85" customHeight="1" spans="1:15">
      <c r="A79" s="145"/>
      <c r="B79" s="129"/>
      <c r="C79" s="140" t="s">
        <v>18</v>
      </c>
      <c r="D79" s="141">
        <f t="shared" ref="D79:M79" si="25">D72+D75</f>
        <v>0</v>
      </c>
      <c r="E79" s="141">
        <f t="shared" si="25"/>
        <v>0</v>
      </c>
      <c r="F79" s="141">
        <f t="shared" si="25"/>
        <v>0</v>
      </c>
      <c r="G79" s="141">
        <f t="shared" si="25"/>
        <v>0</v>
      </c>
      <c r="H79" s="141">
        <f t="shared" si="25"/>
        <v>0</v>
      </c>
      <c r="I79" s="141">
        <f t="shared" si="25"/>
        <v>0</v>
      </c>
      <c r="J79" s="141">
        <f t="shared" si="25"/>
        <v>0</v>
      </c>
      <c r="K79" s="141">
        <f t="shared" si="25"/>
        <v>0</v>
      </c>
      <c r="L79" s="141">
        <f t="shared" si="25"/>
        <v>0</v>
      </c>
      <c r="M79" s="141">
        <f t="shared" si="25"/>
        <v>0</v>
      </c>
      <c r="N79" s="130">
        <f t="shared" si="12"/>
        <v>0</v>
      </c>
      <c r="O79" s="149" t="str">
        <f t="shared" si="24"/>
        <v/>
      </c>
    </row>
    <row r="80" ht="14.85" customHeight="1" spans="1:15">
      <c r="A80" s="145"/>
      <c r="B80" s="129"/>
      <c r="C80" s="140" t="s">
        <v>19</v>
      </c>
      <c r="D80" s="141">
        <f t="shared" ref="D80:M80" si="26">D73+D76</f>
        <v>0</v>
      </c>
      <c r="E80" s="141">
        <f t="shared" si="26"/>
        <v>0</v>
      </c>
      <c r="F80" s="141">
        <f t="shared" si="26"/>
        <v>0</v>
      </c>
      <c r="G80" s="141">
        <f t="shared" si="26"/>
        <v>0</v>
      </c>
      <c r="H80" s="141">
        <f t="shared" si="26"/>
        <v>0</v>
      </c>
      <c r="I80" s="141">
        <f t="shared" si="26"/>
        <v>0</v>
      </c>
      <c r="J80" s="141">
        <f t="shared" si="26"/>
        <v>0</v>
      </c>
      <c r="K80" s="141">
        <f t="shared" si="26"/>
        <v>0</v>
      </c>
      <c r="L80" s="141">
        <f t="shared" si="26"/>
        <v>0</v>
      </c>
      <c r="M80" s="141">
        <f t="shared" si="26"/>
        <v>0</v>
      </c>
      <c r="N80" s="130">
        <f t="shared" si="12"/>
        <v>0</v>
      </c>
      <c r="O80" s="149" t="str">
        <f t="shared" si="24"/>
        <v/>
      </c>
    </row>
    <row r="81" ht="14.85" customHeight="1" spans="1:15">
      <c r="A81" s="145"/>
      <c r="B81" s="129"/>
      <c r="C81" s="140" t="s">
        <v>37</v>
      </c>
      <c r="D81" s="143">
        <f>SUMIFS(危旧房屋改造项目分表!$AC$6:$AC$353,危旧房屋改造项目分表!$B$6:$B$353,"芙蓉区",危旧房屋改造项目分表!$AD$6:AD$353,"是",危旧房屋改造项目分表!$AG$6:$AG$353,"否")</f>
        <v>0</v>
      </c>
      <c r="E81" s="143">
        <f>SUMIFS(危旧房屋改造项目分表!$AC$6:$AC$353,危旧房屋改造项目分表!$B$6:$B$353,"天心区",危旧房屋改造项目分表!$AD$6:AD$353,"是",危旧房屋改造项目分表!$AG$6:$AG$353,"否")</f>
        <v>0</v>
      </c>
      <c r="F81" s="143">
        <f>SUMIFS(危旧房屋改造项目分表!$AC$6:$AC$353,危旧房屋改造项目分表!$B$6:$B$353,"岳麓区",危旧房屋改造项目分表!$AD$6:AD$353,"是",危旧房屋改造项目分表!$AG$6:$AG$353,"否")</f>
        <v>0</v>
      </c>
      <c r="G81" s="143">
        <f>SUMIFS(危旧房屋改造项目分表!$AC$6:$AC$353,危旧房屋改造项目分表!$B$6:$B$353,"开福区",危旧房屋改造项目分表!$AD$6:AD$353,"是",危旧房屋改造项目分表!$AG$6:$AG$353,"否")</f>
        <v>0</v>
      </c>
      <c r="H81" s="143">
        <f>SUMIFS(危旧房屋改造项目分表!$AC$6:$AC$353,危旧房屋改造项目分表!$B$6:$B$353,"雨花区",危旧房屋改造项目分表!$AD$6:AD$353,"是",危旧房屋改造项目分表!$AG$6:$AG$353,"否")</f>
        <v>0</v>
      </c>
      <c r="I81" s="143">
        <f>SUMIFS(危旧房屋改造项目分表!$AC$6:$AC$353,危旧房屋改造项目分表!$B$6:$B$353,"长沙县",危旧房屋改造项目分表!$AD$6:AD$353,"是",危旧房屋改造项目分表!$AG$6:$AG$353,"否")</f>
        <v>0</v>
      </c>
      <c r="J81" s="143">
        <f>SUMIFS(危旧房屋改造项目分表!$AC$6:$AC$353,危旧房屋改造项目分表!$B$6:$B$353,"望城区",危旧房屋改造项目分表!$AD$6:AD$353,"是",危旧房屋改造项目分表!$AG$6:$AG$353,"否")</f>
        <v>0</v>
      </c>
      <c r="K81" s="143">
        <f>SUMIFS(危旧房屋改造项目分表!$AC$6:$AC$353,危旧房屋改造项目分表!$B$6:$B$353,"浏阳市",危旧房屋改造项目分表!$AD$6:AD$353,"是",危旧房屋改造项目分表!$AG$6:$AG$353,"否")</f>
        <v>0</v>
      </c>
      <c r="L81" s="143">
        <f>SUMIFS(危旧房屋改造项目分表!$AC$6:$AC$353,危旧房屋改造项目分表!$B$6:$B$353,"宁乡市",危旧房屋改造项目分表!$AD$6:AD$353,"是",危旧房屋改造项目分表!$AG$6:$AG$353,"否")</f>
        <v>0</v>
      </c>
      <c r="M81" s="143">
        <f>SUMIFS(危旧房屋改造项目分表!$AC$6:$AC$353,危旧房屋改造项目分表!$AD$6:AD$353,"是",危旧房屋改造项目分表!$AG$6:$AG$353,"是")</f>
        <v>0</v>
      </c>
      <c r="N81" s="130">
        <f t="shared" si="12"/>
        <v>0</v>
      </c>
      <c r="O81" s="149" t="str">
        <f t="shared" si="24"/>
        <v/>
      </c>
    </row>
    <row r="82" ht="14.85" customHeight="1" spans="1:15">
      <c r="A82" s="145"/>
      <c r="B82" s="129"/>
      <c r="C82" s="140" t="s">
        <v>38</v>
      </c>
      <c r="D82" s="149" t="str">
        <f>IFERROR((SUMPRODUCT((危旧房屋改造项目分表!$B$6:$B$353="芙蓉区")*(危旧房屋改造项目分表!$AD$6:AD$353="是")*(危旧房屋改造项目分表!AG$6:$AG$353="否")*(危旧房屋改造项目分表!$V$6:$V$353+危旧房屋改造项目分表!$AB$6:$AB$353))/D$4),"")</f>
        <v/>
      </c>
      <c r="E82" s="149" t="str">
        <f>IFERROR((SUMPRODUCT((危旧房屋改造项目分表!$B$6:$B$353="天心区")*(危旧房屋改造项目分表!$AD$6:AD$353="是")*(危旧房屋改造项目分表!$AG$6:AH$353="否")*(危旧房屋改造项目分表!$V$6:$V$353+危旧房屋改造项目分表!$AB$6:$AB$353))/E$4),"")</f>
        <v/>
      </c>
      <c r="F82" s="149" t="str">
        <f>IFERROR((SUMPRODUCT((危旧房屋改造项目分表!$B$6:$B$353="岳麓区")*(危旧房屋改造项目分表!$AD$6:AD$353="是")*(危旧房屋改造项目分表!$AG$6:AI$353="否")*(危旧房屋改造项目分表!$V$6:$V$353+危旧房屋改造项目分表!$AB$6:$AB$353))/F$4),"")</f>
        <v/>
      </c>
      <c r="G82" s="149" t="str">
        <f>IFERROR((SUMPRODUCT((危旧房屋改造项目分表!$B$6:$B$353="开福区")*(危旧房屋改造项目分表!$AD$6:AD$353="是")*(危旧房屋改造项目分表!$AG$6:AJ$353="否")*(危旧房屋改造项目分表!$V$6:$V$353+危旧房屋改造项目分表!$AB$6:$AB$353))/G$4),"")</f>
        <v/>
      </c>
      <c r="H82" s="149" t="str">
        <f>IFERROR((SUMPRODUCT((危旧房屋改造项目分表!$B$6:$B$353="雨花区")*(危旧房屋改造项目分表!$AD$6:AD$353="是")*(危旧房屋改造项目分表!$AG$6:AK$353="否")*(危旧房屋改造项目分表!$V$6:$V$353+危旧房屋改造项目分表!$AB$6:$AB$353))/H$4),"")</f>
        <v/>
      </c>
      <c r="I82" s="149" t="str">
        <f>IFERROR((SUMPRODUCT((危旧房屋改造项目分表!$B$6:$B$353="长沙县")*(危旧房屋改造项目分表!$AD$6:AD$353="是")*(危旧房屋改造项目分表!$AG$6:AL$353="否")*(危旧房屋改造项目分表!$V$6:$V$353+危旧房屋改造项目分表!$AB$6:$AB$353))/I$4),"")</f>
        <v/>
      </c>
      <c r="J82" s="149" t="str">
        <f>IFERROR((SUMPRODUCT((危旧房屋改造项目分表!$B$6:$B$353="望城区")*(危旧房屋改造项目分表!$AD$6:AD$353="是")*(危旧房屋改造项目分表!$AG$6:AM$353="否")*(危旧房屋改造项目分表!$V$6:$V$353+危旧房屋改造项目分表!$AB$6:$AB$353))/J$4),"")</f>
        <v/>
      </c>
      <c r="K82" s="149" t="str">
        <f>IFERROR((SUMPRODUCT((危旧房屋改造项目分表!$B$6:$B$353="浏阳市")*(危旧房屋改造项目分表!$AD$6:AD$353="是")*(危旧房屋改造项目分表!$AG$6:AN$353="否")*(危旧房屋改造项目分表!$V$6:$V$353+危旧房屋改造项目分表!$AB$6:$AB$353))/K$4),"")</f>
        <v/>
      </c>
      <c r="L82" s="149" t="str">
        <f>IFERROR((SUMPRODUCT((危旧房屋改造项目分表!$B$6:$B$353="宁乡市")*(危旧房屋改造项目分表!$AD$6:AD$353="是")*(危旧房屋改造项目分表!$AG$6:AO$353="否")*(危旧房屋改造项目分表!$V$6:$V$353+危旧房屋改造项目分表!$AB$6:$AB$353))/L$4),"")</f>
        <v/>
      </c>
      <c r="M82" s="149" t="str">
        <f>IFERROR((SUMPRODUCT((危旧房屋改造项目分表!$AG$6:AP$353="是")*(危旧房屋改造项目分表!$AD$6:AD$353="是")*(危旧房屋改造项目分表!$V$6:$V$353+危旧房屋改造项目分表!$AB$6:$AB$353))/M$4),"")</f>
        <v/>
      </c>
      <c r="N82" s="157" t="str">
        <f>IFERROR((SUMPRODUCT((危旧房屋改造项目分表!$AD$6:AD$353="是")*(危旧房屋改造项目分表!$V$6:$V$353+危旧房屋改造项目分表!$AB$6:$AB$353))/N$4),"")</f>
        <v/>
      </c>
      <c r="O82" s="158"/>
    </row>
    <row r="83" ht="14.85" customHeight="1" spans="1:15">
      <c r="A83" s="150"/>
      <c r="B83" s="129"/>
      <c r="C83" s="140" t="s">
        <v>39</v>
      </c>
      <c r="D83" s="149" t="e">
        <f t="shared" ref="D83:N83" si="27">D78/D4</f>
        <v>#DIV/0!</v>
      </c>
      <c r="E83" s="149" t="e">
        <f t="shared" si="27"/>
        <v>#DIV/0!</v>
      </c>
      <c r="F83" s="149" t="e">
        <f t="shared" si="27"/>
        <v>#DIV/0!</v>
      </c>
      <c r="G83" s="149" t="e">
        <f t="shared" si="27"/>
        <v>#DIV/0!</v>
      </c>
      <c r="H83" s="149" t="e">
        <f t="shared" si="27"/>
        <v>#DIV/0!</v>
      </c>
      <c r="I83" s="149" t="e">
        <f t="shared" si="27"/>
        <v>#DIV/0!</v>
      </c>
      <c r="J83" s="149" t="e">
        <f t="shared" si="27"/>
        <v>#DIV/0!</v>
      </c>
      <c r="K83" s="149" t="e">
        <f t="shared" si="27"/>
        <v>#DIV/0!</v>
      </c>
      <c r="L83" s="149" t="e">
        <f t="shared" si="27"/>
        <v>#DIV/0!</v>
      </c>
      <c r="M83" s="149" t="e">
        <f t="shared" si="27"/>
        <v>#DIV/0!</v>
      </c>
      <c r="N83" s="157" t="e">
        <f t="shared" si="27"/>
        <v>#DIV/0!</v>
      </c>
      <c r="O83" s="158"/>
    </row>
  </sheetData>
  <protectedRanges>
    <protectedRange sqref="R488:AB488" name="区域1"/>
    <protectedRange sqref="R6:AB75 AC6:AC488" name="区域1_1"/>
  </protectedRanges>
  <mergeCells count="34">
    <mergeCell ref="A1:O1"/>
    <mergeCell ref="A2:C2"/>
    <mergeCell ref="N2:O2"/>
    <mergeCell ref="A3:C3"/>
    <mergeCell ref="A8:A22"/>
    <mergeCell ref="A23:A37"/>
    <mergeCell ref="A38:A52"/>
    <mergeCell ref="A53:A67"/>
    <mergeCell ref="A71:A83"/>
    <mergeCell ref="B8:B10"/>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71:B73"/>
    <mergeCell ref="B74:B77"/>
    <mergeCell ref="B78:B83"/>
    <mergeCell ref="A4:B7"/>
    <mergeCell ref="A68:B70"/>
  </mergeCells>
  <pageMargins left="0.94375" right="0.388888888888889" top="0.979166666666667" bottom="0.588888888888889" header="0.5" footer="0.588888888888889"/>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9"/>
    <pageSetUpPr fitToPage="1"/>
  </sheetPr>
  <dimension ref="A1:AG354"/>
  <sheetViews>
    <sheetView tabSelected="1" topLeftCell="F1" workbookViewId="0">
      <pane ySplit="5" topLeftCell="A6" activePane="bottomLeft" state="frozen"/>
      <selection/>
      <selection pane="bottomLeft" activeCell="A1" sqref="A1:AG1"/>
    </sheetView>
  </sheetViews>
  <sheetFormatPr defaultColWidth="8.725" defaultRowHeight="13.5"/>
  <cols>
    <col min="1" max="1" width="4" style="1" customWidth="1"/>
    <col min="2" max="2" width="8.725" style="1"/>
    <col min="3" max="3" width="6.54166666666667" style="1" customWidth="1"/>
    <col min="4" max="4" width="7.09166666666667" style="1" customWidth="1"/>
    <col min="5" max="5" width="8.725" style="1"/>
    <col min="6" max="6" width="7.90833333333333" style="1" customWidth="1"/>
    <col min="7" max="7" width="8.18333333333333" style="1" customWidth="1"/>
    <col min="8" max="8" width="8" style="1" customWidth="1"/>
    <col min="9" max="9" width="5.63333333333333" style="1" customWidth="1"/>
    <col min="10" max="11" width="5.725" style="1" customWidth="1"/>
    <col min="12" max="12" width="8.81666666666667" style="1" customWidth="1"/>
    <col min="13" max="14" width="5.63333333333333" style="1" customWidth="1"/>
    <col min="15" max="15" width="8.725" style="1"/>
    <col min="16" max="16" width="8.63333333333333" style="1" customWidth="1"/>
    <col min="17" max="21" width="7.63333333333333" style="1" customWidth="1"/>
    <col min="22" max="27" width="7.63333333333333" style="2" customWidth="1"/>
    <col min="28" max="28" width="7.63333333333333" style="1" customWidth="1"/>
    <col min="29" max="29" width="8.63333333333333" style="3" customWidth="1"/>
    <col min="30" max="30" width="5.63333333333333" style="1" hidden="1" customWidth="1"/>
    <col min="31" max="31" width="5.63333333333333" style="1" customWidth="1"/>
    <col min="32" max="32" width="5.63333333333333" style="1" hidden="1" customWidth="1"/>
    <col min="33" max="33" width="5.63333333333333" style="1" customWidth="1"/>
    <col min="34" max="16384" width="8.725" style="1"/>
  </cols>
  <sheetData>
    <row r="1" ht="22.5" spans="1:33">
      <c r="A1" s="4" t="s">
        <v>41</v>
      </c>
      <c r="B1" s="5"/>
      <c r="C1" s="5"/>
      <c r="D1" s="5"/>
      <c r="E1" s="5"/>
      <c r="F1" s="5"/>
      <c r="G1" s="5"/>
      <c r="H1" s="5"/>
      <c r="I1" s="5"/>
      <c r="J1" s="5"/>
      <c r="K1" s="5"/>
      <c r="L1" s="5"/>
      <c r="M1" s="5"/>
      <c r="N1" s="5"/>
      <c r="O1" s="5"/>
      <c r="P1" s="5"/>
      <c r="Q1" s="5"/>
      <c r="R1" s="5"/>
      <c r="S1" s="5"/>
      <c r="T1" s="5"/>
      <c r="U1" s="5"/>
      <c r="V1" s="5"/>
      <c r="W1" s="39"/>
      <c r="X1" s="39"/>
      <c r="Y1" s="39"/>
      <c r="Z1" s="39"/>
      <c r="AA1" s="39"/>
      <c r="AB1" s="5"/>
      <c r="AC1" s="45"/>
      <c r="AD1" s="5"/>
      <c r="AE1" s="5"/>
      <c r="AF1" s="5"/>
      <c r="AG1" s="55"/>
    </row>
    <row r="2" spans="1:33">
      <c r="A2" s="6" t="s">
        <v>42</v>
      </c>
      <c r="B2" s="7"/>
      <c r="C2" s="7"/>
      <c r="D2" s="7"/>
      <c r="E2" s="7"/>
      <c r="F2" s="7"/>
      <c r="G2" s="7"/>
      <c r="H2" s="7"/>
      <c r="I2" s="7"/>
      <c r="J2" s="7"/>
      <c r="K2" s="7"/>
      <c r="L2" s="7"/>
      <c r="M2" s="7"/>
      <c r="N2" s="7"/>
      <c r="O2" s="7"/>
      <c r="P2" s="7"/>
      <c r="Q2" s="7"/>
      <c r="R2" s="7"/>
      <c r="S2" s="7"/>
      <c r="T2" s="7"/>
      <c r="U2" s="7"/>
      <c r="V2" s="40"/>
      <c r="W2" s="40"/>
      <c r="X2" s="40" t="s">
        <v>2</v>
      </c>
      <c r="Y2" s="40"/>
      <c r="Z2" s="40" t="s">
        <v>43</v>
      </c>
      <c r="AA2" s="40"/>
      <c r="AB2" s="46"/>
      <c r="AC2" s="47"/>
      <c r="AD2" s="7"/>
      <c r="AE2" s="46"/>
      <c r="AF2" s="48"/>
      <c r="AG2" s="56"/>
    </row>
    <row r="3" spans="1:33">
      <c r="A3" s="8" t="s">
        <v>44</v>
      </c>
      <c r="B3" s="9" t="s">
        <v>45</v>
      </c>
      <c r="C3" s="9" t="s">
        <v>46</v>
      </c>
      <c r="D3" s="9" t="s">
        <v>47</v>
      </c>
      <c r="E3" s="9" t="s">
        <v>48</v>
      </c>
      <c r="F3" s="9" t="s">
        <v>49</v>
      </c>
      <c r="G3" s="9" t="s">
        <v>50</v>
      </c>
      <c r="H3" s="9"/>
      <c r="I3" s="9"/>
      <c r="J3" s="9"/>
      <c r="K3" s="9"/>
      <c r="L3" s="9"/>
      <c r="M3" s="9"/>
      <c r="N3" s="9"/>
      <c r="O3" s="9"/>
      <c r="P3" s="9"/>
      <c r="Q3" s="9"/>
      <c r="R3" s="9" t="s">
        <v>51</v>
      </c>
      <c r="S3" s="9"/>
      <c r="T3" s="9"/>
      <c r="U3" s="9"/>
      <c r="V3" s="41"/>
      <c r="W3" s="41"/>
      <c r="X3" s="41"/>
      <c r="Y3" s="41"/>
      <c r="Z3" s="41"/>
      <c r="AA3" s="41"/>
      <c r="AB3" s="9"/>
      <c r="AC3" s="49" t="s">
        <v>52</v>
      </c>
      <c r="AD3" s="9" t="s">
        <v>53</v>
      </c>
      <c r="AE3" s="7" t="s">
        <v>54</v>
      </c>
      <c r="AF3" s="50" t="s">
        <v>55</v>
      </c>
      <c r="AG3" s="57" t="s">
        <v>56</v>
      </c>
    </row>
    <row r="4" spans="1:33">
      <c r="A4" s="8"/>
      <c r="B4" s="9"/>
      <c r="C4" s="9"/>
      <c r="D4" s="9"/>
      <c r="E4" s="9"/>
      <c r="F4" s="9"/>
      <c r="G4" s="9" t="s">
        <v>57</v>
      </c>
      <c r="H4" s="9" t="s">
        <v>58</v>
      </c>
      <c r="I4" s="9" t="s">
        <v>59</v>
      </c>
      <c r="J4" s="9" t="s">
        <v>60</v>
      </c>
      <c r="K4" s="9" t="s">
        <v>18</v>
      </c>
      <c r="L4" s="9" t="s">
        <v>61</v>
      </c>
      <c r="M4" s="9" t="s">
        <v>62</v>
      </c>
      <c r="N4" s="9" t="s">
        <v>63</v>
      </c>
      <c r="O4" s="9" t="s">
        <v>64</v>
      </c>
      <c r="P4" s="9" t="s">
        <v>65</v>
      </c>
      <c r="Q4" s="9" t="s">
        <v>66</v>
      </c>
      <c r="R4" s="9" t="s">
        <v>67</v>
      </c>
      <c r="S4" s="9"/>
      <c r="T4" s="9"/>
      <c r="U4" s="9"/>
      <c r="V4" s="41"/>
      <c r="W4" s="41" t="s">
        <v>29</v>
      </c>
      <c r="X4" s="41"/>
      <c r="Y4" s="41"/>
      <c r="Z4" s="41"/>
      <c r="AA4" s="41"/>
      <c r="AB4" s="9"/>
      <c r="AC4" s="49"/>
      <c r="AD4" s="9"/>
      <c r="AE4" s="7"/>
      <c r="AF4" s="50"/>
      <c r="AG4" s="57"/>
    </row>
    <row r="5" s="1" customFormat="1" ht="45" spans="1:33">
      <c r="A5" s="8"/>
      <c r="B5" s="9"/>
      <c r="C5" s="9"/>
      <c r="D5" s="9"/>
      <c r="E5" s="9"/>
      <c r="F5" s="9"/>
      <c r="G5" s="9"/>
      <c r="H5" s="9"/>
      <c r="I5" s="9"/>
      <c r="J5" s="9"/>
      <c r="K5" s="9"/>
      <c r="L5" s="9"/>
      <c r="M5" s="9"/>
      <c r="N5" s="9"/>
      <c r="O5" s="9"/>
      <c r="P5" s="9"/>
      <c r="Q5" s="9"/>
      <c r="R5" s="9" t="s">
        <v>68</v>
      </c>
      <c r="S5" s="9" t="s">
        <v>69</v>
      </c>
      <c r="T5" s="9" t="s">
        <v>70</v>
      </c>
      <c r="U5" s="9" t="s">
        <v>71</v>
      </c>
      <c r="V5" s="41" t="s">
        <v>72</v>
      </c>
      <c r="W5" s="41" t="s">
        <v>68</v>
      </c>
      <c r="X5" s="41" t="s">
        <v>73</v>
      </c>
      <c r="Y5" s="41" t="s">
        <v>74</v>
      </c>
      <c r="Z5" s="41" t="s">
        <v>75</v>
      </c>
      <c r="AA5" s="41" t="s">
        <v>76</v>
      </c>
      <c r="AB5" s="9" t="s">
        <v>72</v>
      </c>
      <c r="AC5" s="49"/>
      <c r="AD5" s="9"/>
      <c r="AE5" s="7"/>
      <c r="AF5" s="50"/>
      <c r="AG5" s="57"/>
    </row>
    <row r="6" s="1" customFormat="1" ht="33.75" spans="1:33">
      <c r="A6" s="10">
        <v>1</v>
      </c>
      <c r="B6" s="11" t="s">
        <v>4</v>
      </c>
      <c r="C6" s="12" t="s">
        <v>77</v>
      </c>
      <c r="D6" s="11" t="s">
        <v>78</v>
      </c>
      <c r="E6" s="13" t="s">
        <v>79</v>
      </c>
      <c r="F6" s="13" t="s">
        <v>79</v>
      </c>
      <c r="G6" s="11" t="s">
        <v>80</v>
      </c>
      <c r="H6" s="11" t="s">
        <v>81</v>
      </c>
      <c r="I6" s="14" t="s">
        <v>82</v>
      </c>
      <c r="J6" s="18" t="s">
        <v>83</v>
      </c>
      <c r="K6" s="19">
        <v>1</v>
      </c>
      <c r="L6" s="20">
        <v>54</v>
      </c>
      <c r="M6" s="21">
        <v>1</v>
      </c>
      <c r="N6" s="14" t="s">
        <v>84</v>
      </c>
      <c r="O6" s="18" t="s">
        <v>27</v>
      </c>
      <c r="P6" s="15">
        <v>16.2</v>
      </c>
      <c r="Q6" s="15" t="s">
        <v>85</v>
      </c>
      <c r="R6" s="42">
        <v>0.1</v>
      </c>
      <c r="S6" s="42"/>
      <c r="T6" s="42"/>
      <c r="U6" s="42"/>
      <c r="V6" s="42"/>
      <c r="W6" s="42"/>
      <c r="X6" s="42"/>
      <c r="Y6" s="42"/>
      <c r="Z6" s="42"/>
      <c r="AA6" s="42"/>
      <c r="AB6" s="42"/>
      <c r="AC6" s="51"/>
      <c r="AD6" s="52"/>
      <c r="AE6" s="16"/>
      <c r="AF6" s="52">
        <v>1</v>
      </c>
      <c r="AG6" s="58" t="s">
        <v>86</v>
      </c>
    </row>
    <row r="7" s="1" customFormat="1" ht="22.5" spans="1:33">
      <c r="A7" s="10">
        <v>2</v>
      </c>
      <c r="B7" s="11" t="s">
        <v>4</v>
      </c>
      <c r="C7" s="12" t="s">
        <v>77</v>
      </c>
      <c r="D7" s="11" t="s">
        <v>78</v>
      </c>
      <c r="E7" s="13" t="s">
        <v>87</v>
      </c>
      <c r="F7" s="13" t="s">
        <v>87</v>
      </c>
      <c r="G7" s="11" t="s">
        <v>80</v>
      </c>
      <c r="H7" s="11" t="s">
        <v>88</v>
      </c>
      <c r="I7" s="14" t="s">
        <v>82</v>
      </c>
      <c r="J7" s="18" t="s">
        <v>83</v>
      </c>
      <c r="K7" s="19">
        <v>1</v>
      </c>
      <c r="L7" s="20">
        <v>64.89</v>
      </c>
      <c r="M7" s="21">
        <v>1</v>
      </c>
      <c r="N7" s="14" t="s">
        <v>89</v>
      </c>
      <c r="O7" s="18" t="s">
        <v>21</v>
      </c>
      <c r="P7" s="15">
        <v>9.73</v>
      </c>
      <c r="Q7" s="15" t="s">
        <v>85</v>
      </c>
      <c r="R7" s="42">
        <v>0.1</v>
      </c>
      <c r="S7" s="42"/>
      <c r="T7" s="42"/>
      <c r="U7" s="42"/>
      <c r="V7" s="42"/>
      <c r="W7" s="42"/>
      <c r="X7" s="42"/>
      <c r="Y7" s="42"/>
      <c r="Z7" s="42"/>
      <c r="AA7" s="42"/>
      <c r="AB7" s="42"/>
      <c r="AC7" s="51"/>
      <c r="AD7" s="52"/>
      <c r="AE7" s="16"/>
      <c r="AF7" s="52">
        <v>1</v>
      </c>
      <c r="AG7" s="58" t="s">
        <v>86</v>
      </c>
    </row>
    <row r="8" s="1" customFormat="1" ht="22.5" spans="1:33">
      <c r="A8" s="10">
        <v>3</v>
      </c>
      <c r="B8" s="11" t="s">
        <v>4</v>
      </c>
      <c r="C8" s="12" t="s">
        <v>90</v>
      </c>
      <c r="D8" s="11" t="s">
        <v>91</v>
      </c>
      <c r="E8" s="13" t="s">
        <v>92</v>
      </c>
      <c r="F8" s="13" t="s">
        <v>92</v>
      </c>
      <c r="G8" s="11" t="s">
        <v>80</v>
      </c>
      <c r="H8" s="11"/>
      <c r="I8" s="14" t="s">
        <v>82</v>
      </c>
      <c r="J8" s="18" t="s">
        <v>83</v>
      </c>
      <c r="K8" s="19">
        <v>30</v>
      </c>
      <c r="L8" s="20">
        <v>1500</v>
      </c>
      <c r="M8" s="21">
        <v>5</v>
      </c>
      <c r="N8" s="14" t="s">
        <v>84</v>
      </c>
      <c r="O8" s="18" t="s">
        <v>27</v>
      </c>
      <c r="P8" s="15">
        <v>450</v>
      </c>
      <c r="Q8" s="15" t="s">
        <v>85</v>
      </c>
      <c r="R8" s="42">
        <v>0.1</v>
      </c>
      <c r="S8" s="42"/>
      <c r="T8" s="42"/>
      <c r="U8" s="42"/>
      <c r="V8" s="42"/>
      <c r="W8" s="42"/>
      <c r="X8" s="42"/>
      <c r="Y8" s="42"/>
      <c r="Z8" s="42"/>
      <c r="AA8" s="42"/>
      <c r="AB8" s="42"/>
      <c r="AC8" s="51"/>
      <c r="AD8" s="52"/>
      <c r="AE8" s="16"/>
      <c r="AF8" s="52">
        <v>1</v>
      </c>
      <c r="AG8" s="58" t="s">
        <v>86</v>
      </c>
    </row>
    <row r="9" s="1" customFormat="1" ht="22.5" spans="1:33">
      <c r="A9" s="10">
        <v>4</v>
      </c>
      <c r="B9" s="11" t="s">
        <v>4</v>
      </c>
      <c r="C9" s="12" t="s">
        <v>77</v>
      </c>
      <c r="D9" s="11" t="s">
        <v>78</v>
      </c>
      <c r="E9" s="13" t="s">
        <v>93</v>
      </c>
      <c r="F9" s="13" t="s">
        <v>93</v>
      </c>
      <c r="G9" s="11" t="s">
        <v>80</v>
      </c>
      <c r="H9" s="11" t="s">
        <v>94</v>
      </c>
      <c r="I9" s="14" t="s">
        <v>82</v>
      </c>
      <c r="J9" s="18" t="s">
        <v>83</v>
      </c>
      <c r="K9" s="19">
        <v>1</v>
      </c>
      <c r="L9" s="20">
        <v>72.96</v>
      </c>
      <c r="M9" s="21">
        <v>1</v>
      </c>
      <c r="N9" s="14" t="s">
        <v>84</v>
      </c>
      <c r="O9" s="18" t="s">
        <v>27</v>
      </c>
      <c r="P9" s="15">
        <v>22.5</v>
      </c>
      <c r="Q9" s="15" t="s">
        <v>85</v>
      </c>
      <c r="R9" s="42">
        <v>0.1</v>
      </c>
      <c r="S9" s="42"/>
      <c r="T9" s="42"/>
      <c r="U9" s="42"/>
      <c r="V9" s="42"/>
      <c r="W9" s="42"/>
      <c r="X9" s="42"/>
      <c r="Y9" s="42"/>
      <c r="Z9" s="42"/>
      <c r="AA9" s="42"/>
      <c r="AB9" s="42"/>
      <c r="AC9" s="51"/>
      <c r="AD9" s="52"/>
      <c r="AE9" s="16"/>
      <c r="AF9" s="52">
        <v>1</v>
      </c>
      <c r="AG9" s="58" t="s">
        <v>86</v>
      </c>
    </row>
    <row r="10" s="1" customFormat="1" ht="22.5" spans="1:33">
      <c r="A10" s="10">
        <v>5</v>
      </c>
      <c r="B10" s="11" t="s">
        <v>4</v>
      </c>
      <c r="C10" s="12" t="s">
        <v>77</v>
      </c>
      <c r="D10" s="11" t="s">
        <v>78</v>
      </c>
      <c r="E10" s="13" t="s">
        <v>95</v>
      </c>
      <c r="F10" s="13" t="s">
        <v>95</v>
      </c>
      <c r="G10" s="11" t="s">
        <v>80</v>
      </c>
      <c r="H10" s="11" t="s">
        <v>96</v>
      </c>
      <c r="I10" s="14" t="s">
        <v>82</v>
      </c>
      <c r="J10" s="18" t="s">
        <v>83</v>
      </c>
      <c r="K10" s="19">
        <v>1</v>
      </c>
      <c r="L10" s="20">
        <v>46.84</v>
      </c>
      <c r="M10" s="21">
        <v>1</v>
      </c>
      <c r="N10" s="14" t="s">
        <v>84</v>
      </c>
      <c r="O10" s="18" t="s">
        <v>27</v>
      </c>
      <c r="P10" s="15">
        <v>14.05</v>
      </c>
      <c r="Q10" s="15" t="s">
        <v>85</v>
      </c>
      <c r="R10" s="42">
        <v>0.1</v>
      </c>
      <c r="S10" s="42"/>
      <c r="T10" s="42"/>
      <c r="U10" s="42"/>
      <c r="V10" s="42"/>
      <c r="W10" s="42"/>
      <c r="X10" s="42"/>
      <c r="Y10" s="42"/>
      <c r="Z10" s="42"/>
      <c r="AA10" s="42"/>
      <c r="AB10" s="42"/>
      <c r="AC10" s="51"/>
      <c r="AD10" s="52"/>
      <c r="AE10" s="16"/>
      <c r="AF10" s="52">
        <v>1</v>
      </c>
      <c r="AG10" s="58" t="s">
        <v>86</v>
      </c>
    </row>
    <row r="11" s="1" customFormat="1" ht="22.5" spans="1:33">
      <c r="A11" s="10">
        <v>6</v>
      </c>
      <c r="B11" s="11" t="s">
        <v>4</v>
      </c>
      <c r="C11" s="12" t="s">
        <v>77</v>
      </c>
      <c r="D11" s="11" t="s">
        <v>97</v>
      </c>
      <c r="E11" s="13" t="s">
        <v>98</v>
      </c>
      <c r="F11" s="13" t="s">
        <v>98</v>
      </c>
      <c r="G11" s="11" t="s">
        <v>80</v>
      </c>
      <c r="H11" s="11" t="s">
        <v>99</v>
      </c>
      <c r="I11" s="14" t="s">
        <v>82</v>
      </c>
      <c r="J11" s="18" t="s">
        <v>83</v>
      </c>
      <c r="K11" s="19">
        <v>1</v>
      </c>
      <c r="L11" s="20">
        <v>54</v>
      </c>
      <c r="M11" s="21">
        <v>1</v>
      </c>
      <c r="N11" s="14" t="s">
        <v>84</v>
      </c>
      <c r="O11" s="18" t="s">
        <v>27</v>
      </c>
      <c r="P11" s="15">
        <v>16.2</v>
      </c>
      <c r="Q11" s="15" t="s">
        <v>85</v>
      </c>
      <c r="R11" s="42">
        <v>0.1</v>
      </c>
      <c r="S11" s="42"/>
      <c r="T11" s="42"/>
      <c r="U11" s="42"/>
      <c r="V11" s="42"/>
      <c r="W11" s="42"/>
      <c r="X11" s="42"/>
      <c r="Y11" s="42"/>
      <c r="Z11" s="42"/>
      <c r="AA11" s="42"/>
      <c r="AB11" s="42"/>
      <c r="AC11" s="51"/>
      <c r="AD11" s="52"/>
      <c r="AE11" s="16"/>
      <c r="AF11" s="52">
        <v>1</v>
      </c>
      <c r="AG11" s="58" t="s">
        <v>86</v>
      </c>
    </row>
    <row r="12" s="1" customFormat="1" ht="22.5" spans="1:33">
      <c r="A12" s="10">
        <v>7</v>
      </c>
      <c r="B12" s="11" t="s">
        <v>4</v>
      </c>
      <c r="C12" s="12" t="s">
        <v>100</v>
      </c>
      <c r="D12" s="11" t="s">
        <v>101</v>
      </c>
      <c r="E12" s="13" t="s">
        <v>102</v>
      </c>
      <c r="F12" s="13" t="s">
        <v>103</v>
      </c>
      <c r="G12" s="11" t="s">
        <v>80</v>
      </c>
      <c r="H12" s="11"/>
      <c r="I12" s="14" t="s">
        <v>82</v>
      </c>
      <c r="J12" s="18" t="s">
        <v>83</v>
      </c>
      <c r="K12" s="19">
        <v>36</v>
      </c>
      <c r="L12" s="20">
        <v>2400</v>
      </c>
      <c r="M12" s="21">
        <v>6</v>
      </c>
      <c r="N12" s="14" t="s">
        <v>89</v>
      </c>
      <c r="O12" s="18" t="s">
        <v>21</v>
      </c>
      <c r="P12" s="15">
        <v>360</v>
      </c>
      <c r="Q12" s="15" t="s">
        <v>85</v>
      </c>
      <c r="R12" s="42">
        <v>0.1</v>
      </c>
      <c r="S12" s="42"/>
      <c r="T12" s="42"/>
      <c r="U12" s="42"/>
      <c r="V12" s="42"/>
      <c r="W12" s="42"/>
      <c r="X12" s="42"/>
      <c r="Y12" s="42"/>
      <c r="Z12" s="42"/>
      <c r="AA12" s="42"/>
      <c r="AB12" s="42"/>
      <c r="AC12" s="51"/>
      <c r="AD12" s="52"/>
      <c r="AE12" s="16" t="s">
        <v>104</v>
      </c>
      <c r="AF12" s="52">
        <v>1</v>
      </c>
      <c r="AG12" s="58" t="s">
        <v>86</v>
      </c>
    </row>
    <row r="13" s="1" customFormat="1" ht="45" spans="1:33">
      <c r="A13" s="10">
        <v>8</v>
      </c>
      <c r="B13" s="11" t="s">
        <v>4</v>
      </c>
      <c r="C13" s="12" t="s">
        <v>90</v>
      </c>
      <c r="D13" s="12" t="s">
        <v>105</v>
      </c>
      <c r="E13" s="11" t="s">
        <v>106</v>
      </c>
      <c r="F13" s="11" t="s">
        <v>106</v>
      </c>
      <c r="G13" s="11" t="s">
        <v>107</v>
      </c>
      <c r="H13" s="12" t="s">
        <v>108</v>
      </c>
      <c r="I13" s="14" t="s">
        <v>82</v>
      </c>
      <c r="J13" s="11" t="s">
        <v>109</v>
      </c>
      <c r="K13" s="19">
        <v>1</v>
      </c>
      <c r="L13" s="20">
        <v>172.92</v>
      </c>
      <c r="M13" s="11">
        <v>1</v>
      </c>
      <c r="N13" s="15" t="s">
        <v>89</v>
      </c>
      <c r="O13" s="18" t="s">
        <v>21</v>
      </c>
      <c r="P13" s="20">
        <v>27.6672</v>
      </c>
      <c r="Q13" s="15" t="s">
        <v>85</v>
      </c>
      <c r="R13" s="43">
        <v>0.1</v>
      </c>
      <c r="S13" s="43">
        <v>0.2</v>
      </c>
      <c r="T13" s="43"/>
      <c r="U13" s="43"/>
      <c r="V13" s="43">
        <f t="shared" ref="V13:V50" si="0">U13+T13+S13+R13</f>
        <v>0.3</v>
      </c>
      <c r="W13" s="42"/>
      <c r="X13" s="42"/>
      <c r="Y13" s="42"/>
      <c r="Z13" s="42"/>
      <c r="AA13" s="42"/>
      <c r="AB13" s="42"/>
      <c r="AC13" s="51"/>
      <c r="AD13" s="53"/>
      <c r="AE13" s="16"/>
      <c r="AF13" s="52">
        <v>1</v>
      </c>
      <c r="AG13" s="58" t="s">
        <v>85</v>
      </c>
    </row>
    <row r="14" s="1" customFormat="1" ht="45" spans="1:33">
      <c r="A14" s="10">
        <v>9</v>
      </c>
      <c r="B14" s="11" t="s">
        <v>4</v>
      </c>
      <c r="C14" s="12" t="s">
        <v>90</v>
      </c>
      <c r="D14" s="12" t="s">
        <v>110</v>
      </c>
      <c r="E14" s="11" t="s">
        <v>111</v>
      </c>
      <c r="F14" s="11" t="s">
        <v>111</v>
      </c>
      <c r="G14" s="11" t="s">
        <v>107</v>
      </c>
      <c r="H14" s="13" t="s">
        <v>112</v>
      </c>
      <c r="I14" s="14" t="s">
        <v>82</v>
      </c>
      <c r="J14" s="11" t="s">
        <v>109</v>
      </c>
      <c r="K14" s="19">
        <v>4</v>
      </c>
      <c r="L14" s="20">
        <v>185.91</v>
      </c>
      <c r="M14" s="11">
        <v>2</v>
      </c>
      <c r="N14" s="15" t="s">
        <v>89</v>
      </c>
      <c r="O14" s="18" t="s">
        <v>21</v>
      </c>
      <c r="P14" s="20">
        <v>29.7456</v>
      </c>
      <c r="Q14" s="15" t="s">
        <v>85</v>
      </c>
      <c r="R14" s="43">
        <v>0.1</v>
      </c>
      <c r="S14" s="43">
        <v>0.2</v>
      </c>
      <c r="T14" s="43">
        <v>0.6</v>
      </c>
      <c r="U14" s="43">
        <v>0.1</v>
      </c>
      <c r="V14" s="43">
        <f t="shared" si="0"/>
        <v>1</v>
      </c>
      <c r="W14" s="42"/>
      <c r="X14" s="42"/>
      <c r="Y14" s="42"/>
      <c r="Z14" s="42"/>
      <c r="AA14" s="42"/>
      <c r="AB14" s="42"/>
      <c r="AC14" s="51"/>
      <c r="AD14" s="53"/>
      <c r="AE14" s="16" t="s">
        <v>104</v>
      </c>
      <c r="AF14" s="52">
        <v>1</v>
      </c>
      <c r="AG14" s="58" t="s">
        <v>85</v>
      </c>
    </row>
    <row r="15" s="1" customFormat="1" ht="45" spans="1:33">
      <c r="A15" s="10">
        <v>10</v>
      </c>
      <c r="B15" s="11" t="s">
        <v>4</v>
      </c>
      <c r="C15" s="12" t="s">
        <v>77</v>
      </c>
      <c r="D15" s="12" t="s">
        <v>113</v>
      </c>
      <c r="E15" s="11" t="s">
        <v>114</v>
      </c>
      <c r="F15" s="11" t="s">
        <v>114</v>
      </c>
      <c r="G15" s="11" t="s">
        <v>107</v>
      </c>
      <c r="H15" s="12" t="s">
        <v>115</v>
      </c>
      <c r="I15" s="14" t="s">
        <v>82</v>
      </c>
      <c r="J15" s="11" t="s">
        <v>109</v>
      </c>
      <c r="K15" s="19">
        <v>1</v>
      </c>
      <c r="L15" s="20">
        <v>126.72</v>
      </c>
      <c r="M15" s="11">
        <v>2</v>
      </c>
      <c r="N15" s="11" t="s">
        <v>89</v>
      </c>
      <c r="O15" s="18" t="s">
        <v>21</v>
      </c>
      <c r="P15" s="20">
        <v>20.2752</v>
      </c>
      <c r="Q15" s="15" t="s">
        <v>85</v>
      </c>
      <c r="R15" s="43">
        <v>0.1</v>
      </c>
      <c r="S15" s="43">
        <v>0.2</v>
      </c>
      <c r="T15" s="43">
        <v>0.6</v>
      </c>
      <c r="U15" s="43">
        <v>0.1</v>
      </c>
      <c r="V15" s="43">
        <f t="shared" si="0"/>
        <v>1</v>
      </c>
      <c r="W15" s="42"/>
      <c r="X15" s="42"/>
      <c r="Y15" s="42"/>
      <c r="Z15" s="42"/>
      <c r="AA15" s="42"/>
      <c r="AB15" s="42"/>
      <c r="AC15" s="51"/>
      <c r="AD15" s="52"/>
      <c r="AE15" s="16"/>
      <c r="AF15" s="52">
        <v>1</v>
      </c>
      <c r="AG15" s="58" t="s">
        <v>85</v>
      </c>
    </row>
    <row r="16" s="1" customFormat="1" ht="33.75" spans="1:33">
      <c r="A16" s="10">
        <v>11</v>
      </c>
      <c r="B16" s="11" t="s">
        <v>4</v>
      </c>
      <c r="C16" s="11" t="s">
        <v>90</v>
      </c>
      <c r="D16" s="12" t="s">
        <v>116</v>
      </c>
      <c r="E16" s="11" t="s">
        <v>117</v>
      </c>
      <c r="F16" s="11" t="s">
        <v>117</v>
      </c>
      <c r="G16" s="11" t="s">
        <v>107</v>
      </c>
      <c r="H16" s="12" t="s">
        <v>118</v>
      </c>
      <c r="I16" s="14" t="s">
        <v>82</v>
      </c>
      <c r="J16" s="11" t="s">
        <v>109</v>
      </c>
      <c r="K16" s="19">
        <v>5</v>
      </c>
      <c r="L16" s="20">
        <v>165.1</v>
      </c>
      <c r="M16" s="11">
        <v>1</v>
      </c>
      <c r="N16" s="11" t="s">
        <v>84</v>
      </c>
      <c r="O16" s="18" t="s">
        <v>21</v>
      </c>
      <c r="P16" s="20">
        <v>26.416</v>
      </c>
      <c r="Q16" s="15" t="s">
        <v>85</v>
      </c>
      <c r="R16" s="43">
        <v>0.1</v>
      </c>
      <c r="S16" s="43">
        <v>0.2</v>
      </c>
      <c r="T16" s="43"/>
      <c r="U16" s="43"/>
      <c r="V16" s="43">
        <f t="shared" si="0"/>
        <v>0.3</v>
      </c>
      <c r="W16" s="42"/>
      <c r="X16" s="42"/>
      <c r="Y16" s="42"/>
      <c r="Z16" s="42"/>
      <c r="AA16" s="42"/>
      <c r="AB16" s="42"/>
      <c r="AC16" s="51"/>
      <c r="AD16" s="52"/>
      <c r="AE16" s="16" t="s">
        <v>104</v>
      </c>
      <c r="AF16" s="52">
        <v>1</v>
      </c>
      <c r="AG16" s="58" t="s">
        <v>85</v>
      </c>
    </row>
    <row r="17" s="1" customFormat="1" ht="45" spans="1:33">
      <c r="A17" s="10">
        <v>12</v>
      </c>
      <c r="B17" s="11" t="s">
        <v>4</v>
      </c>
      <c r="C17" s="12" t="s">
        <v>77</v>
      </c>
      <c r="D17" s="12" t="s">
        <v>119</v>
      </c>
      <c r="E17" s="11" t="s">
        <v>120</v>
      </c>
      <c r="F17" s="11" t="s">
        <v>120</v>
      </c>
      <c r="G17" s="11" t="s">
        <v>107</v>
      </c>
      <c r="H17" s="13" t="s">
        <v>121</v>
      </c>
      <c r="I17" s="14" t="s">
        <v>82</v>
      </c>
      <c r="J17" s="11" t="s">
        <v>109</v>
      </c>
      <c r="K17" s="19">
        <v>1</v>
      </c>
      <c r="L17" s="20">
        <v>96.57</v>
      </c>
      <c r="M17" s="11">
        <v>1</v>
      </c>
      <c r="N17" s="15" t="s">
        <v>84</v>
      </c>
      <c r="O17" s="18" t="s">
        <v>21</v>
      </c>
      <c r="P17" s="20">
        <v>15.4512</v>
      </c>
      <c r="Q17" s="15" t="s">
        <v>85</v>
      </c>
      <c r="R17" s="43">
        <v>0.1</v>
      </c>
      <c r="S17" s="43">
        <v>0.2</v>
      </c>
      <c r="T17" s="43">
        <v>0.6</v>
      </c>
      <c r="U17" s="43">
        <v>0.1</v>
      </c>
      <c r="V17" s="43">
        <f t="shared" si="0"/>
        <v>1</v>
      </c>
      <c r="W17" s="42"/>
      <c r="X17" s="42"/>
      <c r="Y17" s="42"/>
      <c r="Z17" s="42"/>
      <c r="AA17" s="42"/>
      <c r="AB17" s="42"/>
      <c r="AC17" s="51"/>
      <c r="AD17" s="53"/>
      <c r="AE17" s="16"/>
      <c r="AF17" s="52">
        <v>1</v>
      </c>
      <c r="AG17" s="58" t="s">
        <v>85</v>
      </c>
    </row>
    <row r="18" s="1" customFormat="1" ht="45" spans="1:33">
      <c r="A18" s="10">
        <v>13</v>
      </c>
      <c r="B18" s="11" t="s">
        <v>4</v>
      </c>
      <c r="C18" s="12" t="s">
        <v>77</v>
      </c>
      <c r="D18" s="12" t="s">
        <v>119</v>
      </c>
      <c r="E18" s="11" t="s">
        <v>122</v>
      </c>
      <c r="F18" s="11" t="s">
        <v>122</v>
      </c>
      <c r="G18" s="11" t="s">
        <v>107</v>
      </c>
      <c r="H18" s="13" t="s">
        <v>121</v>
      </c>
      <c r="I18" s="14" t="s">
        <v>82</v>
      </c>
      <c r="J18" s="11" t="s">
        <v>109</v>
      </c>
      <c r="K18" s="19">
        <v>1</v>
      </c>
      <c r="L18" s="20">
        <v>19.68</v>
      </c>
      <c r="M18" s="11">
        <v>1</v>
      </c>
      <c r="N18" s="15" t="s">
        <v>89</v>
      </c>
      <c r="O18" s="18" t="s">
        <v>21</v>
      </c>
      <c r="P18" s="20">
        <v>3.1488</v>
      </c>
      <c r="Q18" s="15" t="s">
        <v>85</v>
      </c>
      <c r="R18" s="43">
        <v>0.1</v>
      </c>
      <c r="S18" s="43">
        <v>0.2</v>
      </c>
      <c r="T18" s="43">
        <v>0.6</v>
      </c>
      <c r="U18" s="43">
        <v>0.1</v>
      </c>
      <c r="V18" s="43">
        <f t="shared" si="0"/>
        <v>1</v>
      </c>
      <c r="W18" s="42"/>
      <c r="X18" s="42"/>
      <c r="Y18" s="42"/>
      <c r="Z18" s="42"/>
      <c r="AA18" s="42"/>
      <c r="AB18" s="42"/>
      <c r="AC18" s="51"/>
      <c r="AD18" s="52"/>
      <c r="AE18" s="16"/>
      <c r="AF18" s="52">
        <v>1</v>
      </c>
      <c r="AG18" s="58" t="s">
        <v>85</v>
      </c>
    </row>
    <row r="19" s="1" customFormat="1" ht="45" spans="1:33">
      <c r="A19" s="10">
        <v>14</v>
      </c>
      <c r="B19" s="11" t="s">
        <v>4</v>
      </c>
      <c r="C19" s="12" t="s">
        <v>77</v>
      </c>
      <c r="D19" s="12" t="s">
        <v>113</v>
      </c>
      <c r="E19" s="11" t="s">
        <v>123</v>
      </c>
      <c r="F19" s="11" t="s">
        <v>123</v>
      </c>
      <c r="G19" s="11" t="s">
        <v>107</v>
      </c>
      <c r="H19" s="12" t="s">
        <v>124</v>
      </c>
      <c r="I19" s="14" t="s">
        <v>82</v>
      </c>
      <c r="J19" s="11" t="s">
        <v>109</v>
      </c>
      <c r="K19" s="19">
        <v>1</v>
      </c>
      <c r="L19" s="20">
        <v>66.8</v>
      </c>
      <c r="M19" s="11">
        <v>2</v>
      </c>
      <c r="N19" s="11" t="s">
        <v>89</v>
      </c>
      <c r="O19" s="18" t="s">
        <v>21</v>
      </c>
      <c r="P19" s="20">
        <v>10.688</v>
      </c>
      <c r="Q19" s="15" t="s">
        <v>85</v>
      </c>
      <c r="R19" s="43">
        <v>0.1</v>
      </c>
      <c r="S19" s="43">
        <v>0.2</v>
      </c>
      <c r="T19" s="43"/>
      <c r="U19" s="43"/>
      <c r="V19" s="43">
        <f t="shared" si="0"/>
        <v>0.3</v>
      </c>
      <c r="W19" s="42"/>
      <c r="X19" s="42"/>
      <c r="Y19" s="42"/>
      <c r="Z19" s="42"/>
      <c r="AA19" s="42"/>
      <c r="AB19" s="42"/>
      <c r="AC19" s="51"/>
      <c r="AD19" s="52"/>
      <c r="AE19" s="16"/>
      <c r="AF19" s="52">
        <v>1</v>
      </c>
      <c r="AG19" s="58" t="s">
        <v>85</v>
      </c>
    </row>
    <row r="20" s="1" customFormat="1" ht="33.75" spans="1:33">
      <c r="A20" s="10">
        <v>15</v>
      </c>
      <c r="B20" s="11" t="s">
        <v>4</v>
      </c>
      <c r="C20" s="11" t="s">
        <v>90</v>
      </c>
      <c r="D20" s="12" t="s">
        <v>116</v>
      </c>
      <c r="E20" s="11" t="s">
        <v>125</v>
      </c>
      <c r="F20" s="11" t="s">
        <v>125</v>
      </c>
      <c r="G20" s="11" t="s">
        <v>107</v>
      </c>
      <c r="H20" s="13" t="s">
        <v>118</v>
      </c>
      <c r="I20" s="14" t="s">
        <v>82</v>
      </c>
      <c r="J20" s="11" t="s">
        <v>109</v>
      </c>
      <c r="K20" s="19">
        <v>1</v>
      </c>
      <c r="L20" s="20">
        <v>30.36</v>
      </c>
      <c r="M20" s="11">
        <v>1</v>
      </c>
      <c r="N20" s="15" t="s">
        <v>84</v>
      </c>
      <c r="O20" s="18" t="s">
        <v>27</v>
      </c>
      <c r="P20" s="20">
        <v>9.108</v>
      </c>
      <c r="Q20" s="15" t="s">
        <v>85</v>
      </c>
      <c r="R20" s="43">
        <v>0.1</v>
      </c>
      <c r="S20" s="43">
        <v>0.2</v>
      </c>
      <c r="T20" s="43">
        <v>0.6</v>
      </c>
      <c r="U20" s="43">
        <v>0.1</v>
      </c>
      <c r="V20" s="43">
        <f t="shared" si="0"/>
        <v>1</v>
      </c>
      <c r="W20" s="42"/>
      <c r="X20" s="42"/>
      <c r="Y20" s="42"/>
      <c r="Z20" s="42"/>
      <c r="AA20" s="42"/>
      <c r="AB20" s="42"/>
      <c r="AC20" s="51"/>
      <c r="AD20" s="52"/>
      <c r="AE20" s="16"/>
      <c r="AF20" s="52">
        <v>1</v>
      </c>
      <c r="AG20" s="58" t="s">
        <v>85</v>
      </c>
    </row>
    <row r="21" s="1" customFormat="1" ht="45" spans="1:33">
      <c r="A21" s="10">
        <v>16</v>
      </c>
      <c r="B21" s="11" t="s">
        <v>4</v>
      </c>
      <c r="C21" s="12" t="s">
        <v>90</v>
      </c>
      <c r="D21" s="12" t="s">
        <v>91</v>
      </c>
      <c r="E21" s="11" t="s">
        <v>126</v>
      </c>
      <c r="F21" s="11" t="s">
        <v>126</v>
      </c>
      <c r="G21" s="11" t="s">
        <v>107</v>
      </c>
      <c r="H21" s="12" t="s">
        <v>127</v>
      </c>
      <c r="I21" s="14" t="s">
        <v>82</v>
      </c>
      <c r="J21" s="11" t="s">
        <v>109</v>
      </c>
      <c r="K21" s="19">
        <v>1</v>
      </c>
      <c r="L21" s="20">
        <v>21.16</v>
      </c>
      <c r="M21" s="11">
        <v>2</v>
      </c>
      <c r="N21" s="11" t="s">
        <v>84</v>
      </c>
      <c r="O21" s="18" t="s">
        <v>27</v>
      </c>
      <c r="P21" s="20">
        <v>6.348</v>
      </c>
      <c r="Q21" s="15" t="s">
        <v>85</v>
      </c>
      <c r="R21" s="43">
        <v>0.1</v>
      </c>
      <c r="S21" s="43">
        <v>0.2</v>
      </c>
      <c r="T21" s="43"/>
      <c r="U21" s="43"/>
      <c r="V21" s="43">
        <f t="shared" si="0"/>
        <v>0.3</v>
      </c>
      <c r="W21" s="42"/>
      <c r="X21" s="42"/>
      <c r="Y21" s="42"/>
      <c r="Z21" s="42"/>
      <c r="AA21" s="42"/>
      <c r="AB21" s="42"/>
      <c r="AC21" s="51"/>
      <c r="AD21" s="52"/>
      <c r="AE21" s="16" t="s">
        <v>104</v>
      </c>
      <c r="AF21" s="52">
        <v>1</v>
      </c>
      <c r="AG21" s="58" t="s">
        <v>85</v>
      </c>
    </row>
    <row r="22" s="1" customFormat="1" ht="33.75" spans="1:33">
      <c r="A22" s="10">
        <v>17</v>
      </c>
      <c r="B22" s="11" t="s">
        <v>4</v>
      </c>
      <c r="C22" s="12" t="s">
        <v>90</v>
      </c>
      <c r="D22" s="12" t="s">
        <v>91</v>
      </c>
      <c r="E22" s="11" t="s">
        <v>128</v>
      </c>
      <c r="F22" s="11" t="s">
        <v>128</v>
      </c>
      <c r="G22" s="11" t="s">
        <v>107</v>
      </c>
      <c r="H22" s="12" t="s">
        <v>118</v>
      </c>
      <c r="I22" s="14" t="s">
        <v>82</v>
      </c>
      <c r="J22" s="11" t="s">
        <v>109</v>
      </c>
      <c r="K22" s="19">
        <v>4</v>
      </c>
      <c r="L22" s="20">
        <v>187.07</v>
      </c>
      <c r="M22" s="11">
        <v>2</v>
      </c>
      <c r="N22" s="11" t="s">
        <v>84</v>
      </c>
      <c r="O22" s="18" t="s">
        <v>27</v>
      </c>
      <c r="P22" s="20">
        <v>56.121</v>
      </c>
      <c r="Q22" s="15" t="s">
        <v>85</v>
      </c>
      <c r="R22" s="43">
        <v>0.1</v>
      </c>
      <c r="S22" s="43">
        <v>0.2</v>
      </c>
      <c r="T22" s="43"/>
      <c r="U22" s="43"/>
      <c r="V22" s="43">
        <f t="shared" si="0"/>
        <v>0.3</v>
      </c>
      <c r="W22" s="42"/>
      <c r="X22" s="42"/>
      <c r="Y22" s="42"/>
      <c r="Z22" s="42"/>
      <c r="AA22" s="42"/>
      <c r="AB22" s="42"/>
      <c r="AC22" s="51"/>
      <c r="AD22" s="52"/>
      <c r="AE22" s="16" t="s">
        <v>104</v>
      </c>
      <c r="AF22" s="52">
        <v>1</v>
      </c>
      <c r="AG22" s="58" t="s">
        <v>85</v>
      </c>
    </row>
    <row r="23" s="1" customFormat="1" ht="45" spans="1:33">
      <c r="A23" s="10">
        <v>18</v>
      </c>
      <c r="B23" s="11" t="s">
        <v>4</v>
      </c>
      <c r="C23" s="12" t="s">
        <v>90</v>
      </c>
      <c r="D23" s="12" t="s">
        <v>129</v>
      </c>
      <c r="E23" s="11" t="s">
        <v>130</v>
      </c>
      <c r="F23" s="11" t="s">
        <v>130</v>
      </c>
      <c r="G23" s="11" t="s">
        <v>107</v>
      </c>
      <c r="H23" s="12" t="s">
        <v>131</v>
      </c>
      <c r="I23" s="14" t="s">
        <v>82</v>
      </c>
      <c r="J23" s="11" t="s">
        <v>109</v>
      </c>
      <c r="K23" s="19">
        <v>3</v>
      </c>
      <c r="L23" s="20">
        <v>95.06</v>
      </c>
      <c r="M23" s="11">
        <v>2</v>
      </c>
      <c r="N23" s="11" t="s">
        <v>89</v>
      </c>
      <c r="O23" s="18" t="s">
        <v>21</v>
      </c>
      <c r="P23" s="20">
        <v>15.2096</v>
      </c>
      <c r="Q23" s="15" t="s">
        <v>85</v>
      </c>
      <c r="R23" s="43">
        <v>0.1</v>
      </c>
      <c r="S23" s="43">
        <v>0.2</v>
      </c>
      <c r="T23" s="43"/>
      <c r="U23" s="43"/>
      <c r="V23" s="43">
        <f t="shared" si="0"/>
        <v>0.3</v>
      </c>
      <c r="W23" s="42"/>
      <c r="X23" s="42"/>
      <c r="Y23" s="42"/>
      <c r="Z23" s="42"/>
      <c r="AA23" s="42"/>
      <c r="AB23" s="42"/>
      <c r="AC23" s="51"/>
      <c r="AD23" s="53"/>
      <c r="AE23" s="16"/>
      <c r="AF23" s="52">
        <v>1</v>
      </c>
      <c r="AG23" s="58" t="s">
        <v>85</v>
      </c>
    </row>
    <row r="24" s="1" customFormat="1" ht="33.75" spans="1:33">
      <c r="A24" s="10">
        <v>19</v>
      </c>
      <c r="B24" s="11" t="s">
        <v>4</v>
      </c>
      <c r="C24" s="12" t="s">
        <v>132</v>
      </c>
      <c r="D24" s="12" t="s">
        <v>133</v>
      </c>
      <c r="E24" s="11" t="s">
        <v>134</v>
      </c>
      <c r="F24" s="11" t="s">
        <v>134</v>
      </c>
      <c r="G24" s="11" t="s">
        <v>107</v>
      </c>
      <c r="H24" s="12" t="s">
        <v>118</v>
      </c>
      <c r="I24" s="14" t="s">
        <v>82</v>
      </c>
      <c r="J24" s="11" t="s">
        <v>109</v>
      </c>
      <c r="K24" s="19">
        <v>1</v>
      </c>
      <c r="L24" s="20">
        <v>41.23</v>
      </c>
      <c r="M24" s="11">
        <v>2</v>
      </c>
      <c r="N24" s="11" t="s">
        <v>89</v>
      </c>
      <c r="O24" s="18" t="s">
        <v>21</v>
      </c>
      <c r="P24" s="20">
        <v>6.5968</v>
      </c>
      <c r="Q24" s="15" t="s">
        <v>85</v>
      </c>
      <c r="R24" s="43">
        <v>0.1</v>
      </c>
      <c r="S24" s="43">
        <v>0.2</v>
      </c>
      <c r="T24" s="43"/>
      <c r="U24" s="43"/>
      <c r="V24" s="43">
        <f t="shared" si="0"/>
        <v>0.3</v>
      </c>
      <c r="W24" s="42"/>
      <c r="X24" s="42"/>
      <c r="Y24" s="42"/>
      <c r="Z24" s="42"/>
      <c r="AA24" s="42"/>
      <c r="AB24" s="42"/>
      <c r="AC24" s="51"/>
      <c r="AD24" s="53"/>
      <c r="AE24" s="16"/>
      <c r="AF24" s="52">
        <v>1</v>
      </c>
      <c r="AG24" s="58" t="s">
        <v>85</v>
      </c>
    </row>
    <row r="25" s="1" customFormat="1" ht="33.75" spans="1:33">
      <c r="A25" s="10">
        <v>20</v>
      </c>
      <c r="B25" s="11" t="s">
        <v>4</v>
      </c>
      <c r="C25" s="12" t="s">
        <v>90</v>
      </c>
      <c r="D25" s="12" t="s">
        <v>105</v>
      </c>
      <c r="E25" s="11" t="s">
        <v>135</v>
      </c>
      <c r="F25" s="11" t="s">
        <v>135</v>
      </c>
      <c r="G25" s="11" t="s">
        <v>107</v>
      </c>
      <c r="H25" s="13" t="s">
        <v>118</v>
      </c>
      <c r="I25" s="14" t="s">
        <v>82</v>
      </c>
      <c r="J25" s="11" t="s">
        <v>109</v>
      </c>
      <c r="K25" s="19">
        <v>1</v>
      </c>
      <c r="L25" s="20">
        <v>42.77</v>
      </c>
      <c r="M25" s="11">
        <v>1</v>
      </c>
      <c r="N25" s="15" t="s">
        <v>89</v>
      </c>
      <c r="O25" s="18" t="s">
        <v>21</v>
      </c>
      <c r="P25" s="20">
        <v>6.8432</v>
      </c>
      <c r="Q25" s="15" t="s">
        <v>85</v>
      </c>
      <c r="R25" s="43">
        <v>0.1</v>
      </c>
      <c r="S25" s="43">
        <v>0.2</v>
      </c>
      <c r="T25" s="43">
        <v>0.6</v>
      </c>
      <c r="U25" s="43">
        <v>0.1</v>
      </c>
      <c r="V25" s="43">
        <f t="shared" si="0"/>
        <v>1</v>
      </c>
      <c r="W25" s="42"/>
      <c r="X25" s="42"/>
      <c r="Y25" s="42"/>
      <c r="Z25" s="42"/>
      <c r="AA25" s="42"/>
      <c r="AB25" s="42"/>
      <c r="AC25" s="51"/>
      <c r="AD25" s="53"/>
      <c r="AE25" s="16"/>
      <c r="AF25" s="52">
        <v>1</v>
      </c>
      <c r="AG25" s="58" t="s">
        <v>85</v>
      </c>
    </row>
    <row r="26" s="1" customFormat="1" ht="33.75" spans="1:33">
      <c r="A26" s="10">
        <v>21</v>
      </c>
      <c r="B26" s="11" t="s">
        <v>4</v>
      </c>
      <c r="C26" s="12" t="s">
        <v>90</v>
      </c>
      <c r="D26" s="12" t="s">
        <v>105</v>
      </c>
      <c r="E26" s="11" t="s">
        <v>136</v>
      </c>
      <c r="F26" s="11" t="s">
        <v>136</v>
      </c>
      <c r="G26" s="11" t="s">
        <v>107</v>
      </c>
      <c r="H26" s="13" t="s">
        <v>118</v>
      </c>
      <c r="I26" s="14" t="s">
        <v>82</v>
      </c>
      <c r="J26" s="11" t="s">
        <v>109</v>
      </c>
      <c r="K26" s="19">
        <v>1</v>
      </c>
      <c r="L26" s="20">
        <v>17.55</v>
      </c>
      <c r="M26" s="11">
        <v>1</v>
      </c>
      <c r="N26" s="15" t="s">
        <v>89</v>
      </c>
      <c r="O26" s="18" t="s">
        <v>21</v>
      </c>
      <c r="P26" s="20">
        <v>2.808</v>
      </c>
      <c r="Q26" s="15" t="s">
        <v>85</v>
      </c>
      <c r="R26" s="43">
        <v>0.1</v>
      </c>
      <c r="S26" s="43">
        <v>0.2</v>
      </c>
      <c r="T26" s="43">
        <v>0.6</v>
      </c>
      <c r="U26" s="43">
        <v>0.1</v>
      </c>
      <c r="V26" s="43">
        <f t="shared" si="0"/>
        <v>1</v>
      </c>
      <c r="W26" s="42"/>
      <c r="X26" s="42"/>
      <c r="Y26" s="42"/>
      <c r="Z26" s="42"/>
      <c r="AA26" s="42"/>
      <c r="AB26" s="42"/>
      <c r="AC26" s="51"/>
      <c r="AD26" s="53"/>
      <c r="AE26" s="16"/>
      <c r="AF26" s="52">
        <v>1</v>
      </c>
      <c r="AG26" s="58" t="s">
        <v>85</v>
      </c>
    </row>
    <row r="27" s="1" customFormat="1" ht="33.75" spans="1:33">
      <c r="A27" s="10">
        <v>22</v>
      </c>
      <c r="B27" s="11" t="s">
        <v>4</v>
      </c>
      <c r="C27" s="12" t="s">
        <v>90</v>
      </c>
      <c r="D27" s="12" t="s">
        <v>91</v>
      </c>
      <c r="E27" s="11" t="s">
        <v>137</v>
      </c>
      <c r="F27" s="11" t="s">
        <v>137</v>
      </c>
      <c r="G27" s="11" t="s">
        <v>107</v>
      </c>
      <c r="H27" s="12" t="s">
        <v>118</v>
      </c>
      <c r="I27" s="14" t="s">
        <v>82</v>
      </c>
      <c r="J27" s="11" t="s">
        <v>109</v>
      </c>
      <c r="K27" s="19">
        <v>2</v>
      </c>
      <c r="L27" s="20">
        <v>70.36</v>
      </c>
      <c r="M27" s="11">
        <v>1</v>
      </c>
      <c r="N27" s="11" t="s">
        <v>84</v>
      </c>
      <c r="O27" s="18" t="s">
        <v>27</v>
      </c>
      <c r="P27" s="20">
        <v>21.108</v>
      </c>
      <c r="Q27" s="15" t="s">
        <v>85</v>
      </c>
      <c r="R27" s="43">
        <v>0.1</v>
      </c>
      <c r="S27" s="43">
        <v>0.2</v>
      </c>
      <c r="T27" s="43"/>
      <c r="U27" s="43"/>
      <c r="V27" s="43">
        <f t="shared" si="0"/>
        <v>0.3</v>
      </c>
      <c r="W27" s="42"/>
      <c r="X27" s="42"/>
      <c r="Y27" s="42"/>
      <c r="Z27" s="42"/>
      <c r="AA27" s="42"/>
      <c r="AB27" s="42"/>
      <c r="AC27" s="51"/>
      <c r="AD27" s="53"/>
      <c r="AE27" s="16"/>
      <c r="AF27" s="52">
        <v>1</v>
      </c>
      <c r="AG27" s="58" t="s">
        <v>85</v>
      </c>
    </row>
    <row r="28" s="1" customFormat="1" ht="33.75" spans="1:33">
      <c r="A28" s="10">
        <v>23</v>
      </c>
      <c r="B28" s="11" t="s">
        <v>4</v>
      </c>
      <c r="C28" s="12" t="s">
        <v>90</v>
      </c>
      <c r="D28" s="12" t="s">
        <v>138</v>
      </c>
      <c r="E28" s="11" t="s">
        <v>139</v>
      </c>
      <c r="F28" s="11" t="s">
        <v>139</v>
      </c>
      <c r="G28" s="11" t="s">
        <v>107</v>
      </c>
      <c r="H28" s="11" t="s">
        <v>118</v>
      </c>
      <c r="I28" s="14" t="s">
        <v>82</v>
      </c>
      <c r="J28" s="11" t="s">
        <v>109</v>
      </c>
      <c r="K28" s="19">
        <v>1</v>
      </c>
      <c r="L28" s="20">
        <v>24.54</v>
      </c>
      <c r="M28" s="11">
        <v>1</v>
      </c>
      <c r="N28" s="11" t="s">
        <v>84</v>
      </c>
      <c r="O28" s="18" t="s">
        <v>27</v>
      </c>
      <c r="P28" s="20">
        <v>7.362</v>
      </c>
      <c r="Q28" s="15" t="s">
        <v>85</v>
      </c>
      <c r="R28" s="43">
        <v>0.1</v>
      </c>
      <c r="S28" s="43">
        <v>0.2</v>
      </c>
      <c r="T28" s="43">
        <v>0.6</v>
      </c>
      <c r="U28" s="43">
        <v>0.1</v>
      </c>
      <c r="V28" s="43">
        <f t="shared" si="0"/>
        <v>1</v>
      </c>
      <c r="W28" s="42"/>
      <c r="X28" s="42"/>
      <c r="Y28" s="42"/>
      <c r="Z28" s="42"/>
      <c r="AA28" s="42"/>
      <c r="AB28" s="42"/>
      <c r="AC28" s="51"/>
      <c r="AD28" s="52"/>
      <c r="AE28" s="16"/>
      <c r="AF28" s="52">
        <v>1</v>
      </c>
      <c r="AG28" s="58" t="s">
        <v>85</v>
      </c>
    </row>
    <row r="29" s="1" customFormat="1" ht="33.75" spans="1:33">
      <c r="A29" s="10">
        <v>24</v>
      </c>
      <c r="B29" s="11" t="s">
        <v>4</v>
      </c>
      <c r="C29" s="12" t="s">
        <v>90</v>
      </c>
      <c r="D29" s="12" t="s">
        <v>138</v>
      </c>
      <c r="E29" s="11" t="s">
        <v>140</v>
      </c>
      <c r="F29" s="11" t="s">
        <v>140</v>
      </c>
      <c r="G29" s="11" t="s">
        <v>107</v>
      </c>
      <c r="H29" s="11" t="s">
        <v>118</v>
      </c>
      <c r="I29" s="14" t="s">
        <v>82</v>
      </c>
      <c r="J29" s="11" t="s">
        <v>109</v>
      </c>
      <c r="K29" s="19">
        <v>2</v>
      </c>
      <c r="L29" s="20">
        <v>28.89</v>
      </c>
      <c r="M29" s="11">
        <v>1</v>
      </c>
      <c r="N29" s="11" t="s">
        <v>84</v>
      </c>
      <c r="O29" s="18" t="s">
        <v>27</v>
      </c>
      <c r="P29" s="20">
        <v>8.667</v>
      </c>
      <c r="Q29" s="15" t="s">
        <v>85</v>
      </c>
      <c r="R29" s="43">
        <v>0.1</v>
      </c>
      <c r="S29" s="43">
        <v>0.2</v>
      </c>
      <c r="T29" s="43">
        <v>0.6</v>
      </c>
      <c r="U29" s="43">
        <v>0.1</v>
      </c>
      <c r="V29" s="43">
        <f t="shared" si="0"/>
        <v>1</v>
      </c>
      <c r="W29" s="42"/>
      <c r="X29" s="42"/>
      <c r="Y29" s="42"/>
      <c r="Z29" s="42"/>
      <c r="AA29" s="42"/>
      <c r="AB29" s="42"/>
      <c r="AC29" s="51"/>
      <c r="AD29" s="52"/>
      <c r="AE29" s="16"/>
      <c r="AF29" s="52">
        <v>1</v>
      </c>
      <c r="AG29" s="58" t="s">
        <v>85</v>
      </c>
    </row>
    <row r="30" s="1" customFormat="1" ht="45" spans="1:33">
      <c r="A30" s="10">
        <v>25</v>
      </c>
      <c r="B30" s="11" t="s">
        <v>4</v>
      </c>
      <c r="C30" s="12" t="s">
        <v>90</v>
      </c>
      <c r="D30" s="12" t="s">
        <v>91</v>
      </c>
      <c r="E30" s="11" t="s">
        <v>141</v>
      </c>
      <c r="F30" s="11" t="s">
        <v>141</v>
      </c>
      <c r="G30" s="11" t="s">
        <v>107</v>
      </c>
      <c r="H30" s="12" t="s">
        <v>142</v>
      </c>
      <c r="I30" s="14" t="s">
        <v>82</v>
      </c>
      <c r="J30" s="11" t="s">
        <v>109</v>
      </c>
      <c r="K30" s="19">
        <v>2</v>
      </c>
      <c r="L30" s="20">
        <v>54.67</v>
      </c>
      <c r="M30" s="11">
        <v>2</v>
      </c>
      <c r="N30" s="11" t="s">
        <v>84</v>
      </c>
      <c r="O30" s="18" t="s">
        <v>21</v>
      </c>
      <c r="P30" s="20">
        <v>8.7472</v>
      </c>
      <c r="Q30" s="15" t="s">
        <v>85</v>
      </c>
      <c r="R30" s="43">
        <v>0.1</v>
      </c>
      <c r="S30" s="43">
        <v>0.2</v>
      </c>
      <c r="T30" s="43"/>
      <c r="U30" s="43"/>
      <c r="V30" s="43">
        <f t="shared" si="0"/>
        <v>0.3</v>
      </c>
      <c r="W30" s="42"/>
      <c r="X30" s="42"/>
      <c r="Y30" s="42"/>
      <c r="Z30" s="42"/>
      <c r="AA30" s="42"/>
      <c r="AB30" s="42"/>
      <c r="AC30" s="51"/>
      <c r="AD30" s="53"/>
      <c r="AE30" s="16"/>
      <c r="AF30" s="52">
        <v>1</v>
      </c>
      <c r="AG30" s="58" t="s">
        <v>85</v>
      </c>
    </row>
    <row r="31" s="1" customFormat="1" ht="56.25" spans="1:33">
      <c r="A31" s="10">
        <v>26</v>
      </c>
      <c r="B31" s="11" t="s">
        <v>4</v>
      </c>
      <c r="C31" s="12" t="s">
        <v>90</v>
      </c>
      <c r="D31" s="12" t="s">
        <v>91</v>
      </c>
      <c r="E31" s="11" t="s">
        <v>143</v>
      </c>
      <c r="F31" s="11" t="s">
        <v>143</v>
      </c>
      <c r="G31" s="11" t="s">
        <v>107</v>
      </c>
      <c r="H31" s="12" t="s">
        <v>144</v>
      </c>
      <c r="I31" s="14" t="s">
        <v>82</v>
      </c>
      <c r="J31" s="11" t="s">
        <v>109</v>
      </c>
      <c r="K31" s="19">
        <v>3</v>
      </c>
      <c r="L31" s="20">
        <v>128.98</v>
      </c>
      <c r="M31" s="11">
        <v>1</v>
      </c>
      <c r="N31" s="11" t="s">
        <v>89</v>
      </c>
      <c r="O31" s="18" t="s">
        <v>21</v>
      </c>
      <c r="P31" s="20">
        <v>20.6368</v>
      </c>
      <c r="Q31" s="15" t="s">
        <v>85</v>
      </c>
      <c r="R31" s="43">
        <v>0.1</v>
      </c>
      <c r="S31" s="43">
        <v>0.2</v>
      </c>
      <c r="T31" s="43"/>
      <c r="U31" s="43"/>
      <c r="V31" s="43">
        <f t="shared" si="0"/>
        <v>0.3</v>
      </c>
      <c r="W31" s="42"/>
      <c r="X31" s="42"/>
      <c r="Y31" s="42"/>
      <c r="Z31" s="42"/>
      <c r="AA31" s="42"/>
      <c r="AB31" s="42"/>
      <c r="AC31" s="51"/>
      <c r="AD31" s="52"/>
      <c r="AE31" s="16" t="s">
        <v>104</v>
      </c>
      <c r="AF31" s="52">
        <v>1</v>
      </c>
      <c r="AG31" s="58" t="s">
        <v>85</v>
      </c>
    </row>
    <row r="32" s="1" customFormat="1" ht="45" spans="1:33">
      <c r="A32" s="10">
        <v>27</v>
      </c>
      <c r="B32" s="11" t="s">
        <v>4</v>
      </c>
      <c r="C32" s="12" t="s">
        <v>90</v>
      </c>
      <c r="D32" s="12" t="s">
        <v>91</v>
      </c>
      <c r="E32" s="11" t="s">
        <v>145</v>
      </c>
      <c r="F32" s="11" t="s">
        <v>145</v>
      </c>
      <c r="G32" s="11" t="s">
        <v>107</v>
      </c>
      <c r="H32" s="12" t="s">
        <v>146</v>
      </c>
      <c r="I32" s="14" t="s">
        <v>82</v>
      </c>
      <c r="J32" s="11" t="s">
        <v>109</v>
      </c>
      <c r="K32" s="19">
        <v>6</v>
      </c>
      <c r="L32" s="20">
        <v>176.43</v>
      </c>
      <c r="M32" s="11">
        <v>2</v>
      </c>
      <c r="N32" s="11" t="s">
        <v>84</v>
      </c>
      <c r="O32" s="18" t="s">
        <v>21</v>
      </c>
      <c r="P32" s="20">
        <v>28.2288</v>
      </c>
      <c r="Q32" s="15" t="s">
        <v>85</v>
      </c>
      <c r="R32" s="43">
        <v>0.1</v>
      </c>
      <c r="S32" s="43">
        <v>0.2</v>
      </c>
      <c r="T32" s="43"/>
      <c r="U32" s="43"/>
      <c r="V32" s="43">
        <f t="shared" si="0"/>
        <v>0.3</v>
      </c>
      <c r="W32" s="42"/>
      <c r="X32" s="42"/>
      <c r="Y32" s="42"/>
      <c r="Z32" s="42"/>
      <c r="AA32" s="42"/>
      <c r="AB32" s="42"/>
      <c r="AC32" s="51"/>
      <c r="AD32" s="52"/>
      <c r="AE32" s="16"/>
      <c r="AF32" s="52">
        <v>1</v>
      </c>
      <c r="AG32" s="58" t="s">
        <v>85</v>
      </c>
    </row>
    <row r="33" s="1" customFormat="1" ht="45" spans="1:33">
      <c r="A33" s="10">
        <v>28</v>
      </c>
      <c r="B33" s="11" t="s">
        <v>4</v>
      </c>
      <c r="C33" s="11" t="s">
        <v>90</v>
      </c>
      <c r="D33" s="12" t="s">
        <v>116</v>
      </c>
      <c r="E33" s="11" t="s">
        <v>147</v>
      </c>
      <c r="F33" s="11" t="s">
        <v>147</v>
      </c>
      <c r="G33" s="11" t="s">
        <v>107</v>
      </c>
      <c r="H33" s="12" t="s">
        <v>148</v>
      </c>
      <c r="I33" s="14" t="s">
        <v>82</v>
      </c>
      <c r="J33" s="11" t="s">
        <v>109</v>
      </c>
      <c r="K33" s="19">
        <v>1</v>
      </c>
      <c r="L33" s="20">
        <v>71.53</v>
      </c>
      <c r="M33" s="11">
        <v>2</v>
      </c>
      <c r="N33" s="11" t="s">
        <v>89</v>
      </c>
      <c r="O33" s="18" t="s">
        <v>27</v>
      </c>
      <c r="P33" s="20">
        <v>21.459</v>
      </c>
      <c r="Q33" s="15" t="s">
        <v>85</v>
      </c>
      <c r="R33" s="43">
        <v>0.1</v>
      </c>
      <c r="S33" s="43">
        <v>0.2</v>
      </c>
      <c r="T33" s="43">
        <v>0.6</v>
      </c>
      <c r="U33" s="43">
        <v>0.1</v>
      </c>
      <c r="V33" s="43">
        <f t="shared" si="0"/>
        <v>1</v>
      </c>
      <c r="W33" s="42"/>
      <c r="X33" s="42"/>
      <c r="Y33" s="42"/>
      <c r="Z33" s="42"/>
      <c r="AA33" s="42"/>
      <c r="AB33" s="42"/>
      <c r="AC33" s="51"/>
      <c r="AD33" s="52"/>
      <c r="AE33" s="16"/>
      <c r="AF33" s="52">
        <v>1</v>
      </c>
      <c r="AG33" s="58" t="s">
        <v>85</v>
      </c>
    </row>
    <row r="34" s="1" customFormat="1" ht="45" spans="1:33">
      <c r="A34" s="10">
        <v>29</v>
      </c>
      <c r="B34" s="11" t="s">
        <v>4</v>
      </c>
      <c r="C34" s="12" t="s">
        <v>90</v>
      </c>
      <c r="D34" s="12" t="s">
        <v>138</v>
      </c>
      <c r="E34" s="11" t="s">
        <v>149</v>
      </c>
      <c r="F34" s="11" t="s">
        <v>149</v>
      </c>
      <c r="G34" s="11" t="s">
        <v>107</v>
      </c>
      <c r="H34" s="12" t="s">
        <v>150</v>
      </c>
      <c r="I34" s="14" t="s">
        <v>82</v>
      </c>
      <c r="J34" s="11" t="s">
        <v>109</v>
      </c>
      <c r="K34" s="19">
        <v>1</v>
      </c>
      <c r="L34" s="20">
        <v>57.38</v>
      </c>
      <c r="M34" s="11">
        <v>2</v>
      </c>
      <c r="N34" s="11" t="s">
        <v>89</v>
      </c>
      <c r="O34" s="18" t="s">
        <v>21</v>
      </c>
      <c r="P34" s="20">
        <v>9.1808</v>
      </c>
      <c r="Q34" s="15" t="s">
        <v>85</v>
      </c>
      <c r="R34" s="43">
        <v>0.1</v>
      </c>
      <c r="S34" s="43">
        <v>0.2</v>
      </c>
      <c r="T34" s="43">
        <v>0.6</v>
      </c>
      <c r="U34" s="43">
        <v>0.1</v>
      </c>
      <c r="V34" s="43">
        <f t="shared" si="0"/>
        <v>1</v>
      </c>
      <c r="W34" s="42"/>
      <c r="X34" s="42"/>
      <c r="Y34" s="42"/>
      <c r="Z34" s="42"/>
      <c r="AA34" s="42"/>
      <c r="AB34" s="42"/>
      <c r="AC34" s="51"/>
      <c r="AD34" s="54"/>
      <c r="AE34" s="16" t="s">
        <v>104</v>
      </c>
      <c r="AF34" s="52">
        <v>1</v>
      </c>
      <c r="AG34" s="58" t="s">
        <v>85</v>
      </c>
    </row>
    <row r="35" s="1" customFormat="1" ht="45" spans="1:33">
      <c r="A35" s="10">
        <v>30</v>
      </c>
      <c r="B35" s="11" t="s">
        <v>4</v>
      </c>
      <c r="C35" s="12" t="s">
        <v>90</v>
      </c>
      <c r="D35" s="12" t="s">
        <v>138</v>
      </c>
      <c r="E35" s="11" t="s">
        <v>151</v>
      </c>
      <c r="F35" s="11" t="s">
        <v>151</v>
      </c>
      <c r="G35" s="11" t="s">
        <v>107</v>
      </c>
      <c r="H35" s="13" t="s">
        <v>152</v>
      </c>
      <c r="I35" s="14" t="s">
        <v>82</v>
      </c>
      <c r="J35" s="11" t="s">
        <v>109</v>
      </c>
      <c r="K35" s="19">
        <v>1</v>
      </c>
      <c r="L35" s="20">
        <v>276.42</v>
      </c>
      <c r="M35" s="11">
        <v>2</v>
      </c>
      <c r="N35" s="15" t="s">
        <v>89</v>
      </c>
      <c r="O35" s="18" t="s">
        <v>21</v>
      </c>
      <c r="P35" s="20">
        <v>44.2272</v>
      </c>
      <c r="Q35" s="15" t="s">
        <v>85</v>
      </c>
      <c r="R35" s="43">
        <v>0.1</v>
      </c>
      <c r="S35" s="43">
        <v>0.2</v>
      </c>
      <c r="T35" s="43">
        <v>0.6</v>
      </c>
      <c r="U35" s="43">
        <v>0.1</v>
      </c>
      <c r="V35" s="43">
        <f t="shared" si="0"/>
        <v>1</v>
      </c>
      <c r="W35" s="42"/>
      <c r="X35" s="42"/>
      <c r="Y35" s="42"/>
      <c r="Z35" s="42"/>
      <c r="AA35" s="42"/>
      <c r="AB35" s="42"/>
      <c r="AC35" s="51"/>
      <c r="AD35" s="52"/>
      <c r="AE35" s="16"/>
      <c r="AF35" s="52">
        <v>1</v>
      </c>
      <c r="AG35" s="58" t="s">
        <v>85</v>
      </c>
    </row>
    <row r="36" s="1" customFormat="1" ht="45" spans="1:33">
      <c r="A36" s="10">
        <v>31</v>
      </c>
      <c r="B36" s="11" t="s">
        <v>4</v>
      </c>
      <c r="C36" s="12" t="s">
        <v>90</v>
      </c>
      <c r="D36" s="11" t="s">
        <v>153</v>
      </c>
      <c r="E36" s="11" t="s">
        <v>154</v>
      </c>
      <c r="F36" s="11" t="s">
        <v>154</v>
      </c>
      <c r="G36" s="11" t="s">
        <v>107</v>
      </c>
      <c r="H36" s="11" t="s">
        <v>155</v>
      </c>
      <c r="I36" s="14" t="s">
        <v>82</v>
      </c>
      <c r="J36" s="11" t="s">
        <v>109</v>
      </c>
      <c r="K36" s="19">
        <v>3</v>
      </c>
      <c r="L36" s="20">
        <v>150.35</v>
      </c>
      <c r="M36" s="11">
        <v>2</v>
      </c>
      <c r="N36" s="14" t="s">
        <v>89</v>
      </c>
      <c r="O36" s="18" t="s">
        <v>27</v>
      </c>
      <c r="P36" s="20">
        <v>45.105</v>
      </c>
      <c r="Q36" s="15" t="s">
        <v>85</v>
      </c>
      <c r="R36" s="43">
        <v>0.1</v>
      </c>
      <c r="S36" s="43">
        <v>0.2</v>
      </c>
      <c r="T36" s="43"/>
      <c r="U36" s="43"/>
      <c r="V36" s="43">
        <f t="shared" si="0"/>
        <v>0.3</v>
      </c>
      <c r="W36" s="42"/>
      <c r="X36" s="42"/>
      <c r="Y36" s="42"/>
      <c r="Z36" s="42"/>
      <c r="AA36" s="42"/>
      <c r="AB36" s="42"/>
      <c r="AC36" s="51"/>
      <c r="AD36" s="52"/>
      <c r="AE36" s="16"/>
      <c r="AF36" s="52">
        <v>1</v>
      </c>
      <c r="AG36" s="58" t="s">
        <v>85</v>
      </c>
    </row>
    <row r="37" s="1" customFormat="1" ht="45" spans="1:33">
      <c r="A37" s="10">
        <v>32</v>
      </c>
      <c r="B37" s="11" t="s">
        <v>4</v>
      </c>
      <c r="C37" s="11" t="s">
        <v>90</v>
      </c>
      <c r="D37" s="12" t="s">
        <v>116</v>
      </c>
      <c r="E37" s="11" t="s">
        <v>156</v>
      </c>
      <c r="F37" s="11" t="s">
        <v>156</v>
      </c>
      <c r="G37" s="11" t="s">
        <v>107</v>
      </c>
      <c r="H37" s="11" t="s">
        <v>157</v>
      </c>
      <c r="I37" s="14" t="s">
        <v>82</v>
      </c>
      <c r="J37" s="11" t="s">
        <v>109</v>
      </c>
      <c r="K37" s="19">
        <v>2</v>
      </c>
      <c r="L37" s="20">
        <v>197.91</v>
      </c>
      <c r="M37" s="11">
        <v>2</v>
      </c>
      <c r="N37" s="14" t="s">
        <v>84</v>
      </c>
      <c r="O37" s="18" t="s">
        <v>27</v>
      </c>
      <c r="P37" s="20">
        <v>59.373</v>
      </c>
      <c r="Q37" s="15" t="s">
        <v>85</v>
      </c>
      <c r="R37" s="43">
        <v>0.1</v>
      </c>
      <c r="S37" s="43">
        <v>0.2</v>
      </c>
      <c r="T37" s="43"/>
      <c r="U37" s="43"/>
      <c r="V37" s="43">
        <f t="shared" si="0"/>
        <v>0.3</v>
      </c>
      <c r="W37" s="42"/>
      <c r="X37" s="42"/>
      <c r="Y37" s="42"/>
      <c r="Z37" s="42"/>
      <c r="AA37" s="42"/>
      <c r="AB37" s="42"/>
      <c r="AC37" s="51"/>
      <c r="AD37" s="52"/>
      <c r="AE37" s="16"/>
      <c r="AF37" s="52">
        <v>1</v>
      </c>
      <c r="AG37" s="58" t="s">
        <v>85</v>
      </c>
    </row>
    <row r="38" s="1" customFormat="1" ht="45" spans="1:33">
      <c r="A38" s="10">
        <v>33</v>
      </c>
      <c r="B38" s="11" t="s">
        <v>4</v>
      </c>
      <c r="C38" s="12" t="s">
        <v>90</v>
      </c>
      <c r="D38" s="14" t="s">
        <v>116</v>
      </c>
      <c r="E38" s="11" t="s">
        <v>158</v>
      </c>
      <c r="F38" s="11" t="s">
        <v>158</v>
      </c>
      <c r="G38" s="11" t="s">
        <v>107</v>
      </c>
      <c r="H38" s="11" t="s">
        <v>159</v>
      </c>
      <c r="I38" s="14" t="s">
        <v>82</v>
      </c>
      <c r="J38" s="11" t="s">
        <v>109</v>
      </c>
      <c r="K38" s="19">
        <v>11</v>
      </c>
      <c r="L38" s="20">
        <v>343.18</v>
      </c>
      <c r="M38" s="21">
        <v>2</v>
      </c>
      <c r="N38" s="14" t="s">
        <v>84</v>
      </c>
      <c r="O38" s="18" t="s">
        <v>27</v>
      </c>
      <c r="P38" s="20">
        <v>102.954</v>
      </c>
      <c r="Q38" s="15" t="s">
        <v>85</v>
      </c>
      <c r="R38" s="43">
        <v>0.1</v>
      </c>
      <c r="S38" s="43">
        <v>0.2</v>
      </c>
      <c r="T38" s="43"/>
      <c r="U38" s="43"/>
      <c r="V38" s="43">
        <f t="shared" si="0"/>
        <v>0.3</v>
      </c>
      <c r="W38" s="42"/>
      <c r="X38" s="42"/>
      <c r="Y38" s="42"/>
      <c r="Z38" s="42"/>
      <c r="AA38" s="42"/>
      <c r="AB38" s="42"/>
      <c r="AC38" s="51"/>
      <c r="AD38" s="52"/>
      <c r="AE38" s="16"/>
      <c r="AF38" s="52">
        <v>1</v>
      </c>
      <c r="AG38" s="58" t="s">
        <v>85</v>
      </c>
    </row>
    <row r="39" s="1" customFormat="1" ht="45" spans="1:33">
      <c r="A39" s="10">
        <v>34</v>
      </c>
      <c r="B39" s="11" t="s">
        <v>4</v>
      </c>
      <c r="C39" s="12" t="s">
        <v>90</v>
      </c>
      <c r="D39" s="14" t="s">
        <v>91</v>
      </c>
      <c r="E39" s="11" t="s">
        <v>160</v>
      </c>
      <c r="F39" s="11" t="s">
        <v>160</v>
      </c>
      <c r="G39" s="11" t="s">
        <v>107</v>
      </c>
      <c r="H39" s="11" t="s">
        <v>161</v>
      </c>
      <c r="I39" s="14" t="s">
        <v>82</v>
      </c>
      <c r="J39" s="11" t="s">
        <v>109</v>
      </c>
      <c r="K39" s="19">
        <v>2</v>
      </c>
      <c r="L39" s="20">
        <v>97.43</v>
      </c>
      <c r="M39" s="13">
        <v>2</v>
      </c>
      <c r="N39" s="14" t="s">
        <v>84</v>
      </c>
      <c r="O39" s="18" t="s">
        <v>27</v>
      </c>
      <c r="P39" s="20">
        <v>29.229</v>
      </c>
      <c r="Q39" s="15" t="s">
        <v>85</v>
      </c>
      <c r="R39" s="43">
        <v>0.1</v>
      </c>
      <c r="S39" s="43">
        <v>0.2</v>
      </c>
      <c r="T39" s="43"/>
      <c r="U39" s="43"/>
      <c r="V39" s="43">
        <f t="shared" si="0"/>
        <v>0.3</v>
      </c>
      <c r="W39" s="42"/>
      <c r="X39" s="42"/>
      <c r="Y39" s="42"/>
      <c r="Z39" s="42"/>
      <c r="AA39" s="42"/>
      <c r="AB39" s="42"/>
      <c r="AC39" s="51"/>
      <c r="AD39" s="52"/>
      <c r="AE39" s="16" t="s">
        <v>104</v>
      </c>
      <c r="AF39" s="52">
        <v>1</v>
      </c>
      <c r="AG39" s="58" t="s">
        <v>85</v>
      </c>
    </row>
    <row r="40" s="1" customFormat="1" ht="45" spans="1:33">
      <c r="A40" s="10">
        <v>35</v>
      </c>
      <c r="B40" s="11" t="s">
        <v>4</v>
      </c>
      <c r="C40" s="12" t="s">
        <v>90</v>
      </c>
      <c r="D40" s="14" t="s">
        <v>91</v>
      </c>
      <c r="E40" s="11" t="s">
        <v>162</v>
      </c>
      <c r="F40" s="11" t="s">
        <v>162</v>
      </c>
      <c r="G40" s="11" t="s">
        <v>107</v>
      </c>
      <c r="H40" s="11" t="s">
        <v>163</v>
      </c>
      <c r="I40" s="14" t="s">
        <v>82</v>
      </c>
      <c r="J40" s="11" t="s">
        <v>109</v>
      </c>
      <c r="K40" s="19">
        <v>5</v>
      </c>
      <c r="L40" s="20">
        <v>220.92</v>
      </c>
      <c r="M40" s="13">
        <v>2</v>
      </c>
      <c r="N40" s="14" t="s">
        <v>84</v>
      </c>
      <c r="O40" s="18" t="s">
        <v>27</v>
      </c>
      <c r="P40" s="20">
        <v>66.276</v>
      </c>
      <c r="Q40" s="15" t="s">
        <v>85</v>
      </c>
      <c r="R40" s="43">
        <v>0.1</v>
      </c>
      <c r="S40" s="43">
        <v>0.2</v>
      </c>
      <c r="T40" s="43"/>
      <c r="U40" s="43"/>
      <c r="V40" s="43">
        <f t="shared" si="0"/>
        <v>0.3</v>
      </c>
      <c r="W40" s="42"/>
      <c r="X40" s="42"/>
      <c r="Y40" s="42"/>
      <c r="Z40" s="42"/>
      <c r="AA40" s="42"/>
      <c r="AB40" s="42"/>
      <c r="AC40" s="51"/>
      <c r="AD40" s="52"/>
      <c r="AE40" s="16"/>
      <c r="AF40" s="52">
        <v>1</v>
      </c>
      <c r="AG40" s="58" t="s">
        <v>85</v>
      </c>
    </row>
    <row r="41" s="1" customFormat="1" ht="45" spans="1:33">
      <c r="A41" s="10">
        <v>36</v>
      </c>
      <c r="B41" s="11" t="s">
        <v>4</v>
      </c>
      <c r="C41" s="12" t="s">
        <v>90</v>
      </c>
      <c r="D41" s="14" t="s">
        <v>116</v>
      </c>
      <c r="E41" s="13" t="s">
        <v>164</v>
      </c>
      <c r="F41" s="13" t="s">
        <v>164</v>
      </c>
      <c r="G41" s="11" t="s">
        <v>107</v>
      </c>
      <c r="H41" s="13" t="s">
        <v>165</v>
      </c>
      <c r="I41" s="14" t="s">
        <v>82</v>
      </c>
      <c r="J41" s="11" t="s">
        <v>109</v>
      </c>
      <c r="K41" s="19">
        <v>7</v>
      </c>
      <c r="L41" s="20">
        <v>372.8</v>
      </c>
      <c r="M41" s="21">
        <v>2</v>
      </c>
      <c r="N41" s="14" t="s">
        <v>84</v>
      </c>
      <c r="O41" s="18" t="s">
        <v>21</v>
      </c>
      <c r="P41" s="20">
        <v>59.648</v>
      </c>
      <c r="Q41" s="15" t="s">
        <v>85</v>
      </c>
      <c r="R41" s="43">
        <v>0.1</v>
      </c>
      <c r="S41" s="43">
        <v>0.2</v>
      </c>
      <c r="T41" s="43"/>
      <c r="U41" s="43"/>
      <c r="V41" s="43">
        <f t="shared" si="0"/>
        <v>0.3</v>
      </c>
      <c r="W41" s="42"/>
      <c r="X41" s="42"/>
      <c r="Y41" s="42"/>
      <c r="Z41" s="42"/>
      <c r="AA41" s="42"/>
      <c r="AB41" s="42"/>
      <c r="AC41" s="51"/>
      <c r="AD41" s="52"/>
      <c r="AE41" s="16" t="s">
        <v>104</v>
      </c>
      <c r="AF41" s="52">
        <v>1</v>
      </c>
      <c r="AG41" s="58" t="s">
        <v>85</v>
      </c>
    </row>
    <row r="42" s="1" customFormat="1" ht="45" spans="1:33">
      <c r="A42" s="10">
        <v>37</v>
      </c>
      <c r="B42" s="11" t="s">
        <v>4</v>
      </c>
      <c r="C42" s="15" t="s">
        <v>166</v>
      </c>
      <c r="D42" s="15" t="s">
        <v>167</v>
      </c>
      <c r="E42" s="11" t="s">
        <v>168</v>
      </c>
      <c r="F42" s="11" t="s">
        <v>168</v>
      </c>
      <c r="G42" s="11" t="s">
        <v>107</v>
      </c>
      <c r="H42" s="12" t="s">
        <v>169</v>
      </c>
      <c r="I42" s="14" t="s">
        <v>82</v>
      </c>
      <c r="J42" s="11" t="s">
        <v>109</v>
      </c>
      <c r="K42" s="19">
        <v>1</v>
      </c>
      <c r="L42" s="20">
        <v>59.83</v>
      </c>
      <c r="M42" s="11">
        <v>1</v>
      </c>
      <c r="N42" s="11" t="s">
        <v>89</v>
      </c>
      <c r="O42" s="18" t="s">
        <v>21</v>
      </c>
      <c r="P42" s="20">
        <v>9.5728</v>
      </c>
      <c r="Q42" s="15" t="s">
        <v>85</v>
      </c>
      <c r="R42" s="43">
        <v>0.1</v>
      </c>
      <c r="S42" s="43">
        <v>0.2</v>
      </c>
      <c r="T42" s="43"/>
      <c r="U42" s="43"/>
      <c r="V42" s="43">
        <f t="shared" si="0"/>
        <v>0.3</v>
      </c>
      <c r="W42" s="42"/>
      <c r="X42" s="42"/>
      <c r="Y42" s="42"/>
      <c r="Z42" s="42"/>
      <c r="AA42" s="42"/>
      <c r="AB42" s="42"/>
      <c r="AC42" s="51"/>
      <c r="AD42" s="52"/>
      <c r="AE42" s="16"/>
      <c r="AF42" s="52">
        <v>1</v>
      </c>
      <c r="AG42" s="58" t="s">
        <v>85</v>
      </c>
    </row>
    <row r="43" s="1" customFormat="1" ht="45" spans="1:33">
      <c r="A43" s="10">
        <v>38</v>
      </c>
      <c r="B43" s="11" t="s">
        <v>4</v>
      </c>
      <c r="C43" s="12" t="s">
        <v>90</v>
      </c>
      <c r="D43" s="12" t="s">
        <v>170</v>
      </c>
      <c r="E43" s="11" t="s">
        <v>171</v>
      </c>
      <c r="F43" s="11" t="s">
        <v>171</v>
      </c>
      <c r="G43" s="11" t="s">
        <v>107</v>
      </c>
      <c r="H43" s="12" t="s">
        <v>172</v>
      </c>
      <c r="I43" s="14" t="s">
        <v>82</v>
      </c>
      <c r="J43" s="11" t="s">
        <v>109</v>
      </c>
      <c r="K43" s="19">
        <v>1</v>
      </c>
      <c r="L43" s="20">
        <v>239.3</v>
      </c>
      <c r="M43" s="11">
        <v>1</v>
      </c>
      <c r="N43" s="11" t="s">
        <v>84</v>
      </c>
      <c r="O43" s="18" t="s">
        <v>28</v>
      </c>
      <c r="P43" s="20">
        <v>71.79</v>
      </c>
      <c r="Q43" s="18" t="s">
        <v>86</v>
      </c>
      <c r="R43" s="43">
        <v>0.1</v>
      </c>
      <c r="S43" s="43">
        <v>0.2</v>
      </c>
      <c r="T43" s="43"/>
      <c r="U43" s="43"/>
      <c r="V43" s="43">
        <f t="shared" si="0"/>
        <v>0.3</v>
      </c>
      <c r="W43" s="42"/>
      <c r="X43" s="42"/>
      <c r="Y43" s="42"/>
      <c r="Z43" s="42"/>
      <c r="AA43" s="42"/>
      <c r="AB43" s="42"/>
      <c r="AC43" s="51"/>
      <c r="AD43" s="52"/>
      <c r="AE43" s="16"/>
      <c r="AF43" s="52">
        <v>1</v>
      </c>
      <c r="AG43" s="58" t="s">
        <v>85</v>
      </c>
    </row>
    <row r="44" s="1" customFormat="1" ht="45" spans="1:33">
      <c r="A44" s="10">
        <v>39</v>
      </c>
      <c r="B44" s="11" t="s">
        <v>4</v>
      </c>
      <c r="C44" s="12" t="s">
        <v>77</v>
      </c>
      <c r="D44" s="12" t="s">
        <v>113</v>
      </c>
      <c r="E44" s="11" t="s">
        <v>173</v>
      </c>
      <c r="F44" s="11" t="s">
        <v>173</v>
      </c>
      <c r="G44" s="11" t="s">
        <v>107</v>
      </c>
      <c r="H44" s="13" t="s">
        <v>174</v>
      </c>
      <c r="I44" s="14" t="s">
        <v>82</v>
      </c>
      <c r="J44" s="18" t="s">
        <v>109</v>
      </c>
      <c r="K44" s="11">
        <v>11</v>
      </c>
      <c r="L44" s="11">
        <v>322.7</v>
      </c>
      <c r="M44" s="11">
        <v>5</v>
      </c>
      <c r="N44" s="14" t="s">
        <v>89</v>
      </c>
      <c r="O44" s="18" t="s">
        <v>21</v>
      </c>
      <c r="P44" s="22">
        <v>51.632</v>
      </c>
      <c r="Q44" s="44" t="s">
        <v>85</v>
      </c>
      <c r="R44" s="43">
        <v>0.1</v>
      </c>
      <c r="S44" s="43">
        <v>0.2</v>
      </c>
      <c r="T44" s="43">
        <v>0.4</v>
      </c>
      <c r="U44" s="43"/>
      <c r="V44" s="43">
        <f t="shared" si="0"/>
        <v>0.7</v>
      </c>
      <c r="W44" s="42"/>
      <c r="X44" s="42"/>
      <c r="Y44" s="42"/>
      <c r="Z44" s="42"/>
      <c r="AA44" s="42"/>
      <c r="AB44" s="42"/>
      <c r="AC44" s="51"/>
      <c r="AD44" s="52"/>
      <c r="AE44" s="16" t="s">
        <v>104</v>
      </c>
      <c r="AF44" s="52">
        <v>1</v>
      </c>
      <c r="AG44" s="58" t="s">
        <v>85</v>
      </c>
    </row>
    <row r="45" s="1" customFormat="1" ht="45" spans="1:33">
      <c r="A45" s="10">
        <v>40</v>
      </c>
      <c r="B45" s="11" t="s">
        <v>4</v>
      </c>
      <c r="C45" s="12" t="s">
        <v>90</v>
      </c>
      <c r="D45" s="12" t="s">
        <v>91</v>
      </c>
      <c r="E45" s="11" t="s">
        <v>175</v>
      </c>
      <c r="F45" s="11" t="s">
        <v>175</v>
      </c>
      <c r="G45" s="11" t="s">
        <v>107</v>
      </c>
      <c r="H45" s="13" t="s">
        <v>176</v>
      </c>
      <c r="I45" s="14" t="s">
        <v>177</v>
      </c>
      <c r="J45" s="18" t="s">
        <v>109</v>
      </c>
      <c r="K45" s="11">
        <v>1</v>
      </c>
      <c r="L45" s="11">
        <v>10.37</v>
      </c>
      <c r="M45" s="11">
        <v>1</v>
      </c>
      <c r="N45" s="14" t="s">
        <v>89</v>
      </c>
      <c r="O45" s="18" t="s">
        <v>21</v>
      </c>
      <c r="P45" s="22">
        <v>1.6592</v>
      </c>
      <c r="Q45" s="44" t="s">
        <v>85</v>
      </c>
      <c r="R45" s="43">
        <v>0.1</v>
      </c>
      <c r="S45" s="43">
        <v>0.2</v>
      </c>
      <c r="T45" s="43">
        <v>0.4</v>
      </c>
      <c r="U45" s="43"/>
      <c r="V45" s="43">
        <f t="shared" si="0"/>
        <v>0.7</v>
      </c>
      <c r="W45" s="42"/>
      <c r="X45" s="42"/>
      <c r="Y45" s="42"/>
      <c r="Z45" s="42"/>
      <c r="AA45" s="42"/>
      <c r="AB45" s="42"/>
      <c r="AC45" s="51"/>
      <c r="AD45" s="52"/>
      <c r="AE45" s="16" t="s">
        <v>104</v>
      </c>
      <c r="AF45" s="52">
        <v>1</v>
      </c>
      <c r="AG45" s="58" t="s">
        <v>85</v>
      </c>
    </row>
    <row r="46" s="1" customFormat="1" ht="33.75" spans="1:33">
      <c r="A46" s="10">
        <v>41</v>
      </c>
      <c r="B46" s="11" t="s">
        <v>4</v>
      </c>
      <c r="C46" s="12" t="s">
        <v>90</v>
      </c>
      <c r="D46" s="12" t="s">
        <v>91</v>
      </c>
      <c r="E46" s="11" t="s">
        <v>178</v>
      </c>
      <c r="F46" s="11" t="s">
        <v>178</v>
      </c>
      <c r="G46" s="11" t="s">
        <v>107</v>
      </c>
      <c r="H46" s="13" t="s">
        <v>118</v>
      </c>
      <c r="I46" s="14" t="s">
        <v>82</v>
      </c>
      <c r="J46" s="18" t="s">
        <v>179</v>
      </c>
      <c r="K46" s="11">
        <v>1</v>
      </c>
      <c r="L46" s="11">
        <v>13.07</v>
      </c>
      <c r="M46" s="11">
        <v>3</v>
      </c>
      <c r="N46" s="14" t="s">
        <v>89</v>
      </c>
      <c r="O46" s="18" t="s">
        <v>21</v>
      </c>
      <c r="P46" s="22">
        <v>2.0912</v>
      </c>
      <c r="Q46" s="44" t="s">
        <v>85</v>
      </c>
      <c r="R46" s="43">
        <v>0.1</v>
      </c>
      <c r="S46" s="43">
        <v>0.2</v>
      </c>
      <c r="T46" s="43">
        <v>0.4</v>
      </c>
      <c r="U46" s="43"/>
      <c r="V46" s="43">
        <f t="shared" si="0"/>
        <v>0.7</v>
      </c>
      <c r="W46" s="42"/>
      <c r="X46" s="42"/>
      <c r="Y46" s="42"/>
      <c r="Z46" s="42"/>
      <c r="AA46" s="42"/>
      <c r="AB46" s="42"/>
      <c r="AC46" s="51"/>
      <c r="AD46" s="52"/>
      <c r="AE46" s="16" t="s">
        <v>104</v>
      </c>
      <c r="AF46" s="52">
        <v>1</v>
      </c>
      <c r="AG46" s="58" t="s">
        <v>85</v>
      </c>
    </row>
    <row r="47" s="1" customFormat="1" ht="45" spans="1:33">
      <c r="A47" s="10">
        <v>42</v>
      </c>
      <c r="B47" s="11" t="s">
        <v>4</v>
      </c>
      <c r="C47" s="12" t="s">
        <v>90</v>
      </c>
      <c r="D47" s="12" t="s">
        <v>138</v>
      </c>
      <c r="E47" s="11" t="s">
        <v>180</v>
      </c>
      <c r="F47" s="11" t="s">
        <v>180</v>
      </c>
      <c r="G47" s="11" t="s">
        <v>107</v>
      </c>
      <c r="H47" s="12" t="s">
        <v>181</v>
      </c>
      <c r="I47" s="14" t="s">
        <v>177</v>
      </c>
      <c r="J47" s="18" t="s">
        <v>109</v>
      </c>
      <c r="K47" s="11">
        <v>1</v>
      </c>
      <c r="L47" s="11">
        <v>39.88</v>
      </c>
      <c r="M47" s="11">
        <v>2</v>
      </c>
      <c r="N47" s="14" t="s">
        <v>84</v>
      </c>
      <c r="O47" s="18" t="s">
        <v>21</v>
      </c>
      <c r="P47" s="22">
        <v>6.3808</v>
      </c>
      <c r="Q47" s="44" t="s">
        <v>85</v>
      </c>
      <c r="R47" s="43">
        <v>0.1</v>
      </c>
      <c r="S47" s="43">
        <v>0.2</v>
      </c>
      <c r="T47" s="43">
        <v>0.6</v>
      </c>
      <c r="U47" s="43">
        <v>0.1</v>
      </c>
      <c r="V47" s="43">
        <f t="shared" si="0"/>
        <v>1</v>
      </c>
      <c r="W47" s="42"/>
      <c r="X47" s="42"/>
      <c r="Y47" s="42"/>
      <c r="Z47" s="42"/>
      <c r="AA47" s="42"/>
      <c r="AB47" s="42"/>
      <c r="AC47" s="51"/>
      <c r="AD47" s="52"/>
      <c r="AE47" s="16" t="s">
        <v>104</v>
      </c>
      <c r="AF47" s="52">
        <v>1</v>
      </c>
      <c r="AG47" s="58" t="s">
        <v>85</v>
      </c>
    </row>
    <row r="48" s="1" customFormat="1" ht="45" spans="1:33">
      <c r="A48" s="10">
        <v>43</v>
      </c>
      <c r="B48" s="11" t="s">
        <v>4</v>
      </c>
      <c r="C48" s="11" t="s">
        <v>77</v>
      </c>
      <c r="D48" s="11" t="s">
        <v>119</v>
      </c>
      <c r="E48" s="11" t="s">
        <v>182</v>
      </c>
      <c r="F48" s="11" t="s">
        <v>182</v>
      </c>
      <c r="G48" s="11" t="s">
        <v>107</v>
      </c>
      <c r="H48" s="12" t="s">
        <v>183</v>
      </c>
      <c r="I48" s="14" t="s">
        <v>82</v>
      </c>
      <c r="J48" s="18" t="s">
        <v>109</v>
      </c>
      <c r="K48" s="11">
        <v>5</v>
      </c>
      <c r="L48" s="11">
        <v>247.22</v>
      </c>
      <c r="M48" s="11">
        <v>6</v>
      </c>
      <c r="N48" s="14" t="s">
        <v>89</v>
      </c>
      <c r="O48" s="18" t="s">
        <v>21</v>
      </c>
      <c r="P48" s="22">
        <v>39.5552</v>
      </c>
      <c r="Q48" s="44" t="s">
        <v>85</v>
      </c>
      <c r="R48" s="43">
        <v>0.1</v>
      </c>
      <c r="S48" s="43">
        <v>0.2</v>
      </c>
      <c r="T48" s="43"/>
      <c r="U48" s="43"/>
      <c r="V48" s="43">
        <f t="shared" si="0"/>
        <v>0.3</v>
      </c>
      <c r="W48" s="42"/>
      <c r="X48" s="42"/>
      <c r="Y48" s="42"/>
      <c r="Z48" s="42"/>
      <c r="AA48" s="42"/>
      <c r="AB48" s="42"/>
      <c r="AC48" s="51"/>
      <c r="AD48" s="52"/>
      <c r="AE48" s="16" t="s">
        <v>104</v>
      </c>
      <c r="AF48" s="52">
        <v>1</v>
      </c>
      <c r="AG48" s="58" t="s">
        <v>85</v>
      </c>
    </row>
    <row r="49" s="1" customFormat="1" ht="45" spans="1:33">
      <c r="A49" s="10">
        <v>44</v>
      </c>
      <c r="B49" s="11" t="s">
        <v>4</v>
      </c>
      <c r="C49" s="12" t="s">
        <v>77</v>
      </c>
      <c r="D49" s="12" t="s">
        <v>113</v>
      </c>
      <c r="E49" s="11" t="s">
        <v>184</v>
      </c>
      <c r="F49" s="11" t="s">
        <v>184</v>
      </c>
      <c r="G49" s="11" t="s">
        <v>107</v>
      </c>
      <c r="H49" s="12" t="s">
        <v>185</v>
      </c>
      <c r="I49" s="14" t="s">
        <v>82</v>
      </c>
      <c r="J49" s="18" t="s">
        <v>109</v>
      </c>
      <c r="K49" s="11">
        <v>1</v>
      </c>
      <c r="L49" s="11">
        <v>38.36</v>
      </c>
      <c r="M49" s="11">
        <v>5</v>
      </c>
      <c r="N49" s="14" t="s">
        <v>89</v>
      </c>
      <c r="O49" s="18" t="s">
        <v>21</v>
      </c>
      <c r="P49" s="22">
        <v>6.1376</v>
      </c>
      <c r="Q49" s="44" t="s">
        <v>85</v>
      </c>
      <c r="R49" s="43">
        <v>0.1</v>
      </c>
      <c r="S49" s="43">
        <v>0.2</v>
      </c>
      <c r="T49" s="43">
        <v>0.4</v>
      </c>
      <c r="U49" s="43"/>
      <c r="V49" s="43">
        <f t="shared" si="0"/>
        <v>0.7</v>
      </c>
      <c r="W49" s="42"/>
      <c r="X49" s="42"/>
      <c r="Y49" s="42"/>
      <c r="Z49" s="42"/>
      <c r="AA49" s="42"/>
      <c r="AB49" s="42"/>
      <c r="AC49" s="51"/>
      <c r="AD49" s="52"/>
      <c r="AE49" s="16" t="s">
        <v>104</v>
      </c>
      <c r="AF49" s="52">
        <v>1</v>
      </c>
      <c r="AG49" s="58" t="s">
        <v>85</v>
      </c>
    </row>
    <row r="50" s="1" customFormat="1" ht="45" spans="1:33">
      <c r="A50" s="10">
        <v>45</v>
      </c>
      <c r="B50" s="11" t="s">
        <v>4</v>
      </c>
      <c r="C50" s="12" t="s">
        <v>90</v>
      </c>
      <c r="D50" s="11" t="s">
        <v>170</v>
      </c>
      <c r="E50" s="13" t="s">
        <v>186</v>
      </c>
      <c r="F50" s="13" t="s">
        <v>186</v>
      </c>
      <c r="G50" s="11" t="s">
        <v>107</v>
      </c>
      <c r="H50" s="11" t="s">
        <v>187</v>
      </c>
      <c r="I50" s="14" t="s">
        <v>82</v>
      </c>
      <c r="J50" s="18" t="s">
        <v>109</v>
      </c>
      <c r="K50" s="19">
        <v>10</v>
      </c>
      <c r="L50" s="20">
        <v>459</v>
      </c>
      <c r="M50" s="21">
        <v>2</v>
      </c>
      <c r="N50" s="14" t="s">
        <v>89</v>
      </c>
      <c r="O50" s="18" t="s">
        <v>21</v>
      </c>
      <c r="P50" s="15">
        <v>73.44</v>
      </c>
      <c r="Q50" s="44" t="s">
        <v>85</v>
      </c>
      <c r="R50" s="43">
        <v>0.1</v>
      </c>
      <c r="S50" s="43">
        <v>0.2</v>
      </c>
      <c r="T50" s="43"/>
      <c r="U50" s="43"/>
      <c r="V50" s="43">
        <f t="shared" si="0"/>
        <v>0.3</v>
      </c>
      <c r="W50" s="42"/>
      <c r="X50" s="42"/>
      <c r="Y50" s="42"/>
      <c r="Z50" s="42"/>
      <c r="AA50" s="42"/>
      <c r="AB50" s="42"/>
      <c r="AC50" s="51"/>
      <c r="AD50" s="52"/>
      <c r="AE50" s="16"/>
      <c r="AF50" s="52">
        <v>1</v>
      </c>
      <c r="AG50" s="58" t="s">
        <v>85</v>
      </c>
    </row>
    <row r="51" s="1" customFormat="1" ht="22.5" hidden="1" spans="1:33">
      <c r="A51" s="10">
        <v>46</v>
      </c>
      <c r="B51" s="16" t="s">
        <v>5</v>
      </c>
      <c r="C51" s="16" t="s">
        <v>188</v>
      </c>
      <c r="D51" s="16" t="s">
        <v>189</v>
      </c>
      <c r="E51" s="16" t="s">
        <v>190</v>
      </c>
      <c r="F51" s="16" t="s">
        <v>191</v>
      </c>
      <c r="G51" s="16" t="s">
        <v>192</v>
      </c>
      <c r="H51" s="16"/>
      <c r="I51" s="23" t="s">
        <v>82</v>
      </c>
      <c r="J51" s="16" t="s">
        <v>83</v>
      </c>
      <c r="K51" s="24">
        <v>1</v>
      </c>
      <c r="L51" s="25">
        <v>98.68</v>
      </c>
      <c r="M51" s="26">
        <v>2</v>
      </c>
      <c r="N51" s="27" t="s">
        <v>84</v>
      </c>
      <c r="O51" s="28" t="s">
        <v>27</v>
      </c>
      <c r="P51" s="25">
        <v>40</v>
      </c>
      <c r="Q51" s="26" t="s">
        <v>86</v>
      </c>
      <c r="R51" s="42"/>
      <c r="S51" s="42"/>
      <c r="T51" s="42"/>
      <c r="U51" s="42"/>
      <c r="V51" s="42"/>
      <c r="W51" s="42"/>
      <c r="X51" s="42"/>
      <c r="Y51" s="42"/>
      <c r="Z51" s="42"/>
      <c r="AA51" s="42"/>
      <c r="AB51" s="42"/>
      <c r="AC51" s="51"/>
      <c r="AD51" s="52"/>
      <c r="AE51" s="16"/>
      <c r="AF51" s="52">
        <v>1</v>
      </c>
      <c r="AG51" s="58" t="s">
        <v>86</v>
      </c>
    </row>
    <row r="52" s="1" customFormat="1" ht="22.5" hidden="1" spans="1:33">
      <c r="A52" s="10">
        <v>47</v>
      </c>
      <c r="B52" s="16" t="s">
        <v>5</v>
      </c>
      <c r="C52" s="16" t="s">
        <v>193</v>
      </c>
      <c r="D52" s="16" t="s">
        <v>194</v>
      </c>
      <c r="E52" s="16" t="s">
        <v>195</v>
      </c>
      <c r="F52" s="16" t="s">
        <v>196</v>
      </c>
      <c r="G52" s="16" t="s">
        <v>197</v>
      </c>
      <c r="H52" s="16"/>
      <c r="I52" s="29" t="s">
        <v>198</v>
      </c>
      <c r="J52" s="29" t="s">
        <v>83</v>
      </c>
      <c r="K52" s="24">
        <v>1</v>
      </c>
      <c r="L52" s="25">
        <v>33.07</v>
      </c>
      <c r="M52" s="26">
        <v>1</v>
      </c>
      <c r="N52" s="30" t="s">
        <v>84</v>
      </c>
      <c r="O52" s="28" t="s">
        <v>27</v>
      </c>
      <c r="P52" s="25">
        <v>30</v>
      </c>
      <c r="Q52" s="16" t="s">
        <v>86</v>
      </c>
      <c r="R52" s="42"/>
      <c r="S52" s="42"/>
      <c r="T52" s="42"/>
      <c r="U52" s="42"/>
      <c r="V52" s="42"/>
      <c r="W52" s="42"/>
      <c r="X52" s="42"/>
      <c r="Y52" s="42"/>
      <c r="Z52" s="42"/>
      <c r="AA52" s="42"/>
      <c r="AB52" s="42"/>
      <c r="AC52" s="51"/>
      <c r="AD52" s="52"/>
      <c r="AE52" s="16"/>
      <c r="AF52" s="52">
        <v>1</v>
      </c>
      <c r="AG52" s="58" t="s">
        <v>86</v>
      </c>
    </row>
    <row r="53" s="1" customFormat="1" ht="33.75" hidden="1" spans="1:33">
      <c r="A53" s="10">
        <v>48</v>
      </c>
      <c r="B53" s="16" t="s">
        <v>5</v>
      </c>
      <c r="C53" s="16" t="s">
        <v>193</v>
      </c>
      <c r="D53" s="16" t="s">
        <v>199</v>
      </c>
      <c r="E53" s="16" t="s">
        <v>200</v>
      </c>
      <c r="F53" s="16" t="s">
        <v>201</v>
      </c>
      <c r="G53" s="16" t="s">
        <v>202</v>
      </c>
      <c r="H53" s="16" t="s">
        <v>203</v>
      </c>
      <c r="I53" s="29" t="s">
        <v>198</v>
      </c>
      <c r="J53" s="29" t="s">
        <v>204</v>
      </c>
      <c r="K53" s="24">
        <v>24</v>
      </c>
      <c r="L53" s="25">
        <v>1800</v>
      </c>
      <c r="M53" s="26">
        <v>5</v>
      </c>
      <c r="N53" s="30" t="s">
        <v>84</v>
      </c>
      <c r="O53" s="28" t="s">
        <v>27</v>
      </c>
      <c r="P53" s="25">
        <v>400</v>
      </c>
      <c r="Q53" s="16" t="s">
        <v>86</v>
      </c>
      <c r="R53" s="42"/>
      <c r="S53" s="42"/>
      <c r="T53" s="42"/>
      <c r="U53" s="42"/>
      <c r="V53" s="42"/>
      <c r="W53" s="42"/>
      <c r="X53" s="42"/>
      <c r="Y53" s="42"/>
      <c r="Z53" s="42"/>
      <c r="AA53" s="42"/>
      <c r="AB53" s="42"/>
      <c r="AC53" s="51"/>
      <c r="AD53" s="52"/>
      <c r="AE53" s="16"/>
      <c r="AF53" s="52">
        <v>1</v>
      </c>
      <c r="AG53" s="58" t="s">
        <v>86</v>
      </c>
    </row>
    <row r="54" s="1" customFormat="1" ht="33.75" hidden="1" spans="1:33">
      <c r="A54" s="10">
        <v>49</v>
      </c>
      <c r="B54" s="16" t="s">
        <v>5</v>
      </c>
      <c r="C54" s="16" t="s">
        <v>205</v>
      </c>
      <c r="D54" s="16" t="s">
        <v>206</v>
      </c>
      <c r="E54" s="16" t="s">
        <v>207</v>
      </c>
      <c r="F54" s="16" t="s">
        <v>92</v>
      </c>
      <c r="G54" s="16" t="s">
        <v>208</v>
      </c>
      <c r="H54" s="16"/>
      <c r="I54" s="23" t="s">
        <v>82</v>
      </c>
      <c r="J54" s="16" t="s">
        <v>109</v>
      </c>
      <c r="K54" s="24">
        <v>45</v>
      </c>
      <c r="L54" s="25">
        <v>1998.05</v>
      </c>
      <c r="M54" s="16">
        <v>3</v>
      </c>
      <c r="N54" s="30" t="s">
        <v>84</v>
      </c>
      <c r="O54" s="28" t="s">
        <v>209</v>
      </c>
      <c r="P54" s="25">
        <v>3600</v>
      </c>
      <c r="Q54" s="26" t="s">
        <v>86</v>
      </c>
      <c r="R54" s="42"/>
      <c r="S54" s="42"/>
      <c r="T54" s="42"/>
      <c r="U54" s="42"/>
      <c r="V54" s="42"/>
      <c r="W54" s="42"/>
      <c r="X54" s="42"/>
      <c r="Y54" s="42"/>
      <c r="Z54" s="42"/>
      <c r="AA54" s="42"/>
      <c r="AB54" s="42"/>
      <c r="AC54" s="51"/>
      <c r="AD54" s="52"/>
      <c r="AE54" s="16"/>
      <c r="AF54" s="52">
        <v>1</v>
      </c>
      <c r="AG54" s="58" t="s">
        <v>86</v>
      </c>
    </row>
    <row r="55" s="1" customFormat="1" ht="33.75" hidden="1" spans="1:33">
      <c r="A55" s="10">
        <v>50</v>
      </c>
      <c r="B55" s="16" t="s">
        <v>5</v>
      </c>
      <c r="C55" s="16" t="s">
        <v>205</v>
      </c>
      <c r="D55" s="16" t="s">
        <v>206</v>
      </c>
      <c r="E55" s="16" t="s">
        <v>210</v>
      </c>
      <c r="F55" s="16" t="s">
        <v>210</v>
      </c>
      <c r="G55" s="16" t="s">
        <v>211</v>
      </c>
      <c r="H55" s="16"/>
      <c r="I55" s="23" t="s">
        <v>82</v>
      </c>
      <c r="J55" s="16" t="s">
        <v>109</v>
      </c>
      <c r="K55" s="24">
        <v>8</v>
      </c>
      <c r="L55" s="25">
        <v>518.1</v>
      </c>
      <c r="M55" s="16">
        <v>2</v>
      </c>
      <c r="N55" s="30" t="s">
        <v>84</v>
      </c>
      <c r="O55" s="28" t="s">
        <v>27</v>
      </c>
      <c r="P55" s="25">
        <v>1500</v>
      </c>
      <c r="Q55" s="26" t="s">
        <v>86</v>
      </c>
      <c r="R55" s="42"/>
      <c r="S55" s="42"/>
      <c r="T55" s="42"/>
      <c r="U55" s="42"/>
      <c r="V55" s="42"/>
      <c r="W55" s="42"/>
      <c r="X55" s="42"/>
      <c r="Y55" s="42"/>
      <c r="Z55" s="42"/>
      <c r="AA55" s="42"/>
      <c r="AB55" s="42"/>
      <c r="AC55" s="51"/>
      <c r="AD55" s="52"/>
      <c r="AE55" s="16"/>
      <c r="AF55" s="52">
        <v>1</v>
      </c>
      <c r="AG55" s="58" t="s">
        <v>86</v>
      </c>
    </row>
    <row r="56" s="1" customFormat="1" ht="22.5" hidden="1" spans="1:33">
      <c r="A56" s="10">
        <v>51</v>
      </c>
      <c r="B56" s="16" t="s">
        <v>5</v>
      </c>
      <c r="C56" s="16" t="s">
        <v>205</v>
      </c>
      <c r="D56" s="16" t="s">
        <v>212</v>
      </c>
      <c r="E56" s="16" t="s">
        <v>213</v>
      </c>
      <c r="F56" s="16" t="s">
        <v>213</v>
      </c>
      <c r="G56" s="16" t="s">
        <v>214</v>
      </c>
      <c r="H56" s="16"/>
      <c r="I56" s="23" t="s">
        <v>215</v>
      </c>
      <c r="J56" s="16" t="s">
        <v>83</v>
      </c>
      <c r="K56" s="24">
        <v>1</v>
      </c>
      <c r="L56" s="25">
        <v>44.23</v>
      </c>
      <c r="M56" s="16">
        <v>2</v>
      </c>
      <c r="N56" s="27" t="s">
        <v>84</v>
      </c>
      <c r="O56" s="28" t="s">
        <v>21</v>
      </c>
      <c r="P56" s="25">
        <v>5</v>
      </c>
      <c r="Q56" s="26" t="s">
        <v>85</v>
      </c>
      <c r="R56" s="42"/>
      <c r="S56" s="42"/>
      <c r="T56" s="42"/>
      <c r="U56" s="42"/>
      <c r="V56" s="42"/>
      <c r="W56" s="42"/>
      <c r="X56" s="42"/>
      <c r="Y56" s="42"/>
      <c r="Z56" s="42"/>
      <c r="AA56" s="42"/>
      <c r="AB56" s="42"/>
      <c r="AC56" s="51"/>
      <c r="AD56" s="52"/>
      <c r="AE56" s="16"/>
      <c r="AF56" s="52">
        <v>1</v>
      </c>
      <c r="AG56" s="58" t="s">
        <v>86</v>
      </c>
    </row>
    <row r="57" s="1" customFormat="1" ht="33.75" hidden="1" spans="1:33">
      <c r="A57" s="10">
        <v>52</v>
      </c>
      <c r="B57" s="16" t="s">
        <v>5</v>
      </c>
      <c r="C57" s="16" t="s">
        <v>205</v>
      </c>
      <c r="D57" s="16" t="s">
        <v>216</v>
      </c>
      <c r="E57" s="16" t="s">
        <v>217</v>
      </c>
      <c r="F57" s="16" t="s">
        <v>218</v>
      </c>
      <c r="G57" s="16" t="s">
        <v>219</v>
      </c>
      <c r="H57" s="16"/>
      <c r="I57" s="29" t="s">
        <v>198</v>
      </c>
      <c r="J57" s="16" t="s">
        <v>204</v>
      </c>
      <c r="K57" s="24">
        <v>32</v>
      </c>
      <c r="L57" s="25">
        <v>1160</v>
      </c>
      <c r="M57" s="31">
        <v>4</v>
      </c>
      <c r="N57" s="32" t="s">
        <v>84</v>
      </c>
      <c r="O57" s="28" t="s">
        <v>209</v>
      </c>
      <c r="P57" s="25">
        <v>2000</v>
      </c>
      <c r="Q57" s="26" t="s">
        <v>86</v>
      </c>
      <c r="R57" s="42"/>
      <c r="S57" s="42"/>
      <c r="T57" s="42"/>
      <c r="U57" s="42"/>
      <c r="V57" s="42"/>
      <c r="W57" s="42"/>
      <c r="X57" s="42"/>
      <c r="Y57" s="42"/>
      <c r="Z57" s="42"/>
      <c r="AA57" s="42"/>
      <c r="AB57" s="42"/>
      <c r="AC57" s="51"/>
      <c r="AD57" s="52"/>
      <c r="AE57" s="16"/>
      <c r="AF57" s="52">
        <v>1</v>
      </c>
      <c r="AG57" s="58" t="s">
        <v>86</v>
      </c>
    </row>
    <row r="58" s="1" customFormat="1" ht="33.75" hidden="1" spans="1:33">
      <c r="A58" s="10">
        <v>53</v>
      </c>
      <c r="B58" s="16" t="s">
        <v>5</v>
      </c>
      <c r="C58" s="16" t="s">
        <v>205</v>
      </c>
      <c r="D58" s="16" t="s">
        <v>216</v>
      </c>
      <c r="E58" s="16" t="s">
        <v>220</v>
      </c>
      <c r="F58" s="16" t="s">
        <v>218</v>
      </c>
      <c r="G58" s="16" t="s">
        <v>219</v>
      </c>
      <c r="H58" s="16"/>
      <c r="I58" s="29" t="s">
        <v>198</v>
      </c>
      <c r="J58" s="16" t="s">
        <v>204</v>
      </c>
      <c r="K58" s="24">
        <v>32</v>
      </c>
      <c r="L58" s="25">
        <v>1500</v>
      </c>
      <c r="M58" s="17">
        <v>4</v>
      </c>
      <c r="N58" s="32" t="s">
        <v>84</v>
      </c>
      <c r="O58" s="28" t="s">
        <v>209</v>
      </c>
      <c r="P58" s="25">
        <v>2586</v>
      </c>
      <c r="Q58" s="26" t="s">
        <v>86</v>
      </c>
      <c r="R58" s="42"/>
      <c r="S58" s="42"/>
      <c r="T58" s="42"/>
      <c r="U58" s="42"/>
      <c r="V58" s="42"/>
      <c r="W58" s="42"/>
      <c r="X58" s="42"/>
      <c r="Y58" s="42"/>
      <c r="Z58" s="42"/>
      <c r="AA58" s="42"/>
      <c r="AB58" s="42"/>
      <c r="AC58" s="51"/>
      <c r="AD58" s="52"/>
      <c r="AE58" s="16"/>
      <c r="AF58" s="52">
        <v>1</v>
      </c>
      <c r="AG58" s="58" t="s">
        <v>86</v>
      </c>
    </row>
    <row r="59" s="1" customFormat="1" ht="33.75" hidden="1" spans="1:33">
      <c r="A59" s="10">
        <v>54</v>
      </c>
      <c r="B59" s="16" t="s">
        <v>5</v>
      </c>
      <c r="C59" s="16" t="s">
        <v>205</v>
      </c>
      <c r="D59" s="16" t="s">
        <v>216</v>
      </c>
      <c r="E59" s="16" t="s">
        <v>221</v>
      </c>
      <c r="F59" s="16" t="s">
        <v>218</v>
      </c>
      <c r="G59" s="16" t="s">
        <v>219</v>
      </c>
      <c r="H59" s="16"/>
      <c r="I59" s="29" t="s">
        <v>198</v>
      </c>
      <c r="J59" s="16" t="s">
        <v>204</v>
      </c>
      <c r="K59" s="24">
        <v>19</v>
      </c>
      <c r="L59" s="25">
        <v>1300</v>
      </c>
      <c r="M59" s="17">
        <v>4</v>
      </c>
      <c r="N59" s="32" t="s">
        <v>84</v>
      </c>
      <c r="O59" s="28" t="s">
        <v>209</v>
      </c>
      <c r="P59" s="25">
        <v>2241</v>
      </c>
      <c r="Q59" s="26" t="s">
        <v>86</v>
      </c>
      <c r="R59" s="42"/>
      <c r="S59" s="42"/>
      <c r="T59" s="42"/>
      <c r="U59" s="42"/>
      <c r="V59" s="42"/>
      <c r="W59" s="42"/>
      <c r="X59" s="42"/>
      <c r="Y59" s="42"/>
      <c r="Z59" s="42"/>
      <c r="AA59" s="42"/>
      <c r="AB59" s="42"/>
      <c r="AC59" s="51"/>
      <c r="AD59" s="52"/>
      <c r="AE59" s="16"/>
      <c r="AF59" s="52">
        <v>1</v>
      </c>
      <c r="AG59" s="58" t="s">
        <v>86</v>
      </c>
    </row>
    <row r="60" s="1" customFormat="1" ht="33.75" hidden="1" spans="1:33">
      <c r="A60" s="10">
        <v>55</v>
      </c>
      <c r="B60" s="16" t="s">
        <v>5</v>
      </c>
      <c r="C60" s="16" t="s">
        <v>205</v>
      </c>
      <c r="D60" s="16" t="s">
        <v>216</v>
      </c>
      <c r="E60" s="16" t="s">
        <v>222</v>
      </c>
      <c r="F60" s="16" t="s">
        <v>218</v>
      </c>
      <c r="G60" s="16" t="s">
        <v>219</v>
      </c>
      <c r="H60" s="16"/>
      <c r="I60" s="29" t="s">
        <v>198</v>
      </c>
      <c r="J60" s="16" t="s">
        <v>204</v>
      </c>
      <c r="K60" s="24">
        <v>20</v>
      </c>
      <c r="L60" s="25">
        <v>1280</v>
      </c>
      <c r="M60" s="17">
        <v>5</v>
      </c>
      <c r="N60" s="32" t="s">
        <v>84</v>
      </c>
      <c r="O60" s="28" t="s">
        <v>209</v>
      </c>
      <c r="P60" s="25">
        <v>2206</v>
      </c>
      <c r="Q60" s="26" t="s">
        <v>86</v>
      </c>
      <c r="R60" s="42"/>
      <c r="S60" s="42"/>
      <c r="T60" s="42"/>
      <c r="U60" s="42"/>
      <c r="V60" s="42"/>
      <c r="W60" s="42"/>
      <c r="X60" s="42"/>
      <c r="Y60" s="42"/>
      <c r="Z60" s="42"/>
      <c r="AA60" s="42"/>
      <c r="AB60" s="42"/>
      <c r="AC60" s="51"/>
      <c r="AD60" s="52"/>
      <c r="AE60" s="16"/>
      <c r="AF60" s="52">
        <v>1</v>
      </c>
      <c r="AG60" s="58" t="s">
        <v>86</v>
      </c>
    </row>
    <row r="61" s="1" customFormat="1" ht="33.75" hidden="1" spans="1:33">
      <c r="A61" s="10">
        <v>56</v>
      </c>
      <c r="B61" s="16" t="s">
        <v>5</v>
      </c>
      <c r="C61" s="16" t="s">
        <v>205</v>
      </c>
      <c r="D61" s="16" t="s">
        <v>216</v>
      </c>
      <c r="E61" s="16" t="s">
        <v>223</v>
      </c>
      <c r="F61" s="17" t="s">
        <v>224</v>
      </c>
      <c r="G61" s="16" t="s">
        <v>219</v>
      </c>
      <c r="H61" s="16"/>
      <c r="I61" s="23" t="s">
        <v>82</v>
      </c>
      <c r="J61" s="16" t="s">
        <v>225</v>
      </c>
      <c r="K61" s="33">
        <v>70</v>
      </c>
      <c r="L61" s="34">
        <v>3398.43</v>
      </c>
      <c r="M61" s="16">
        <v>4</v>
      </c>
      <c r="N61" s="30" t="s">
        <v>84</v>
      </c>
      <c r="O61" s="28" t="s">
        <v>209</v>
      </c>
      <c r="P61" s="34">
        <v>6000</v>
      </c>
      <c r="Q61" s="26" t="s">
        <v>86</v>
      </c>
      <c r="R61" s="42"/>
      <c r="S61" s="42"/>
      <c r="T61" s="42"/>
      <c r="U61" s="42"/>
      <c r="V61" s="42"/>
      <c r="W61" s="42"/>
      <c r="X61" s="42"/>
      <c r="Y61" s="42"/>
      <c r="Z61" s="42"/>
      <c r="AA61" s="42"/>
      <c r="AB61" s="42"/>
      <c r="AC61" s="51"/>
      <c r="AD61" s="52"/>
      <c r="AE61" s="16"/>
      <c r="AF61" s="52">
        <v>1</v>
      </c>
      <c r="AG61" s="58" t="s">
        <v>86</v>
      </c>
    </row>
    <row r="62" s="1" customFormat="1" ht="33.75" hidden="1" spans="1:33">
      <c r="A62" s="10">
        <v>57</v>
      </c>
      <c r="B62" s="16" t="s">
        <v>5</v>
      </c>
      <c r="C62" s="16" t="s">
        <v>205</v>
      </c>
      <c r="D62" s="16" t="s">
        <v>216</v>
      </c>
      <c r="E62" s="16" t="s">
        <v>223</v>
      </c>
      <c r="F62" s="17" t="s">
        <v>226</v>
      </c>
      <c r="G62" s="16" t="s">
        <v>219</v>
      </c>
      <c r="H62" s="16"/>
      <c r="I62" s="23" t="s">
        <v>82</v>
      </c>
      <c r="J62" s="16" t="s">
        <v>225</v>
      </c>
      <c r="K62" s="35"/>
      <c r="L62" s="36"/>
      <c r="M62" s="16">
        <v>4</v>
      </c>
      <c r="N62" s="30" t="s">
        <v>84</v>
      </c>
      <c r="O62" s="28" t="s">
        <v>209</v>
      </c>
      <c r="P62" s="36"/>
      <c r="Q62" s="26" t="s">
        <v>86</v>
      </c>
      <c r="R62" s="42"/>
      <c r="S62" s="42"/>
      <c r="T62" s="42"/>
      <c r="U62" s="42"/>
      <c r="V62" s="42"/>
      <c r="W62" s="42"/>
      <c r="X62" s="42"/>
      <c r="Y62" s="42"/>
      <c r="Z62" s="42"/>
      <c r="AA62" s="42"/>
      <c r="AB62" s="42"/>
      <c r="AC62" s="51"/>
      <c r="AD62" s="52"/>
      <c r="AE62" s="16"/>
      <c r="AF62" s="52">
        <v>1</v>
      </c>
      <c r="AG62" s="58" t="s">
        <v>86</v>
      </c>
    </row>
    <row r="63" s="1" customFormat="1" ht="33.75" hidden="1" spans="1:33">
      <c r="A63" s="10">
        <v>58</v>
      </c>
      <c r="B63" s="16" t="s">
        <v>5</v>
      </c>
      <c r="C63" s="16" t="s">
        <v>205</v>
      </c>
      <c r="D63" s="16" t="s">
        <v>216</v>
      </c>
      <c r="E63" s="16" t="s">
        <v>223</v>
      </c>
      <c r="F63" s="17" t="s">
        <v>227</v>
      </c>
      <c r="G63" s="16" t="s">
        <v>219</v>
      </c>
      <c r="H63" s="16"/>
      <c r="I63" s="23" t="s">
        <v>82</v>
      </c>
      <c r="J63" s="16" t="s">
        <v>225</v>
      </c>
      <c r="K63" s="35"/>
      <c r="L63" s="36"/>
      <c r="M63" s="16">
        <v>4</v>
      </c>
      <c r="N63" s="30" t="s">
        <v>84</v>
      </c>
      <c r="O63" s="28" t="s">
        <v>209</v>
      </c>
      <c r="P63" s="36"/>
      <c r="Q63" s="26" t="s">
        <v>86</v>
      </c>
      <c r="R63" s="42"/>
      <c r="S63" s="42"/>
      <c r="T63" s="42"/>
      <c r="U63" s="42"/>
      <c r="V63" s="42"/>
      <c r="W63" s="42"/>
      <c r="X63" s="42"/>
      <c r="Y63" s="42"/>
      <c r="Z63" s="42"/>
      <c r="AA63" s="42"/>
      <c r="AB63" s="42"/>
      <c r="AC63" s="51"/>
      <c r="AD63" s="52"/>
      <c r="AE63" s="16"/>
      <c r="AF63" s="52">
        <v>1</v>
      </c>
      <c r="AG63" s="58" t="s">
        <v>86</v>
      </c>
    </row>
    <row r="64" s="1" customFormat="1" ht="33.75" hidden="1" spans="1:33">
      <c r="A64" s="10">
        <v>59</v>
      </c>
      <c r="B64" s="16" t="s">
        <v>5</v>
      </c>
      <c r="C64" s="16" t="s">
        <v>205</v>
      </c>
      <c r="D64" s="16" t="s">
        <v>216</v>
      </c>
      <c r="E64" s="16" t="s">
        <v>223</v>
      </c>
      <c r="F64" s="17" t="s">
        <v>228</v>
      </c>
      <c r="G64" s="16" t="s">
        <v>219</v>
      </c>
      <c r="H64" s="16"/>
      <c r="I64" s="23" t="s">
        <v>82</v>
      </c>
      <c r="J64" s="16" t="s">
        <v>225</v>
      </c>
      <c r="K64" s="37"/>
      <c r="L64" s="38"/>
      <c r="M64" s="16">
        <v>4</v>
      </c>
      <c r="N64" s="30" t="s">
        <v>84</v>
      </c>
      <c r="O64" s="28" t="s">
        <v>209</v>
      </c>
      <c r="P64" s="38"/>
      <c r="Q64" s="26" t="s">
        <v>86</v>
      </c>
      <c r="R64" s="42"/>
      <c r="S64" s="42"/>
      <c r="T64" s="42"/>
      <c r="U64" s="42"/>
      <c r="V64" s="42"/>
      <c r="W64" s="42"/>
      <c r="X64" s="42"/>
      <c r="Y64" s="42"/>
      <c r="Z64" s="42"/>
      <c r="AA64" s="42"/>
      <c r="AB64" s="42"/>
      <c r="AC64" s="51"/>
      <c r="AD64" s="52"/>
      <c r="AE64" s="16"/>
      <c r="AF64" s="52">
        <v>1</v>
      </c>
      <c r="AG64" s="58" t="s">
        <v>86</v>
      </c>
    </row>
    <row r="65" s="1" customFormat="1" ht="22.5" hidden="1" spans="1:33">
      <c r="A65" s="10">
        <v>60</v>
      </c>
      <c r="B65" s="16" t="s">
        <v>5</v>
      </c>
      <c r="C65" s="16" t="s">
        <v>205</v>
      </c>
      <c r="D65" s="16" t="s">
        <v>216</v>
      </c>
      <c r="E65" s="16" t="s">
        <v>229</v>
      </c>
      <c r="F65" s="16" t="s">
        <v>230</v>
      </c>
      <c r="G65" s="16" t="s">
        <v>80</v>
      </c>
      <c r="H65" s="16"/>
      <c r="I65" s="23" t="s">
        <v>82</v>
      </c>
      <c r="J65" s="16" t="s">
        <v>83</v>
      </c>
      <c r="K65" s="24">
        <v>18</v>
      </c>
      <c r="L65" s="25">
        <v>1036.24</v>
      </c>
      <c r="M65" s="16">
        <v>5</v>
      </c>
      <c r="N65" s="30" t="s">
        <v>84</v>
      </c>
      <c r="O65" s="28" t="s">
        <v>21</v>
      </c>
      <c r="P65" s="25">
        <v>58</v>
      </c>
      <c r="Q65" s="26" t="s">
        <v>86</v>
      </c>
      <c r="R65" s="42"/>
      <c r="S65" s="42"/>
      <c r="T65" s="42"/>
      <c r="U65" s="42"/>
      <c r="V65" s="42"/>
      <c r="W65" s="42"/>
      <c r="X65" s="42"/>
      <c r="Y65" s="42"/>
      <c r="Z65" s="42"/>
      <c r="AA65" s="42"/>
      <c r="AB65" s="42"/>
      <c r="AC65" s="51"/>
      <c r="AD65" s="52"/>
      <c r="AE65" s="16"/>
      <c r="AF65" s="52">
        <v>1</v>
      </c>
      <c r="AG65" s="58" t="s">
        <v>86</v>
      </c>
    </row>
    <row r="66" s="1" customFormat="1" ht="33.75" hidden="1" spans="1:33">
      <c r="A66" s="10">
        <v>61</v>
      </c>
      <c r="B66" s="16" t="s">
        <v>5</v>
      </c>
      <c r="C66" s="16" t="s">
        <v>205</v>
      </c>
      <c r="D66" s="16" t="s">
        <v>231</v>
      </c>
      <c r="E66" s="16" t="s">
        <v>232</v>
      </c>
      <c r="F66" s="16" t="s">
        <v>232</v>
      </c>
      <c r="G66" s="16" t="s">
        <v>233</v>
      </c>
      <c r="H66" s="16"/>
      <c r="I66" s="23" t="s">
        <v>215</v>
      </c>
      <c r="J66" s="16" t="s">
        <v>109</v>
      </c>
      <c r="K66" s="24">
        <v>4</v>
      </c>
      <c r="L66" s="25">
        <v>196.9</v>
      </c>
      <c r="M66" s="16">
        <v>1</v>
      </c>
      <c r="N66" s="67" t="s">
        <v>89</v>
      </c>
      <c r="O66" s="28" t="s">
        <v>27</v>
      </c>
      <c r="P66" s="68">
        <v>5000</v>
      </c>
      <c r="Q66" s="26" t="s">
        <v>85</v>
      </c>
      <c r="R66" s="42"/>
      <c r="S66" s="42"/>
      <c r="T66" s="42"/>
      <c r="U66" s="42"/>
      <c r="V66" s="42"/>
      <c r="W66" s="42"/>
      <c r="X66" s="42"/>
      <c r="Y66" s="42"/>
      <c r="Z66" s="42"/>
      <c r="AA66" s="42"/>
      <c r="AB66" s="42"/>
      <c r="AC66" s="51"/>
      <c r="AD66" s="52"/>
      <c r="AE66" s="16"/>
      <c r="AF66" s="52">
        <v>1</v>
      </c>
      <c r="AG66" s="58" t="s">
        <v>86</v>
      </c>
    </row>
    <row r="67" s="1" customFormat="1" ht="33.75" hidden="1" spans="1:33">
      <c r="A67" s="10">
        <v>62</v>
      </c>
      <c r="B67" s="16" t="s">
        <v>5</v>
      </c>
      <c r="C67" s="16" t="s">
        <v>234</v>
      </c>
      <c r="D67" s="16" t="s">
        <v>235</v>
      </c>
      <c r="E67" s="16" t="s">
        <v>236</v>
      </c>
      <c r="F67" s="16" t="s">
        <v>237</v>
      </c>
      <c r="G67" s="16" t="s">
        <v>238</v>
      </c>
      <c r="H67" s="16"/>
      <c r="I67" s="29" t="s">
        <v>215</v>
      </c>
      <c r="J67" s="29" t="s">
        <v>239</v>
      </c>
      <c r="K67" s="69">
        <v>30</v>
      </c>
      <c r="L67" s="69">
        <v>2119</v>
      </c>
      <c r="M67" s="69">
        <v>5</v>
      </c>
      <c r="N67" s="67" t="s">
        <v>89</v>
      </c>
      <c r="O67" s="28" t="s">
        <v>27</v>
      </c>
      <c r="P67" s="68">
        <v>5000</v>
      </c>
      <c r="Q67" s="29" t="s">
        <v>85</v>
      </c>
      <c r="R67" s="42"/>
      <c r="S67" s="42"/>
      <c r="T67" s="42"/>
      <c r="U67" s="42"/>
      <c r="V67" s="42"/>
      <c r="W67" s="42"/>
      <c r="X67" s="42"/>
      <c r="Y67" s="42"/>
      <c r="Z67" s="42"/>
      <c r="AA67" s="42"/>
      <c r="AB67" s="42"/>
      <c r="AC67" s="51"/>
      <c r="AD67" s="52"/>
      <c r="AE67" s="16"/>
      <c r="AF67" s="52">
        <v>1</v>
      </c>
      <c r="AG67" s="58" t="s">
        <v>86</v>
      </c>
    </row>
    <row r="68" s="1" customFormat="1" ht="33.75" hidden="1" spans="1:33">
      <c r="A68" s="10">
        <v>63</v>
      </c>
      <c r="B68" s="16" t="s">
        <v>5</v>
      </c>
      <c r="C68" s="16" t="s">
        <v>234</v>
      </c>
      <c r="D68" s="16" t="s">
        <v>235</v>
      </c>
      <c r="E68" s="16" t="s">
        <v>236</v>
      </c>
      <c r="F68" s="16" t="s">
        <v>240</v>
      </c>
      <c r="G68" s="16" t="s">
        <v>238</v>
      </c>
      <c r="H68" s="16"/>
      <c r="I68" s="29" t="s">
        <v>215</v>
      </c>
      <c r="J68" s="29" t="s">
        <v>239</v>
      </c>
      <c r="K68" s="69">
        <v>30</v>
      </c>
      <c r="L68" s="69">
        <v>2119</v>
      </c>
      <c r="M68" s="69">
        <v>5</v>
      </c>
      <c r="N68" s="67" t="s">
        <v>84</v>
      </c>
      <c r="O68" s="31" t="s">
        <v>241</v>
      </c>
      <c r="P68" s="70">
        <v>2868</v>
      </c>
      <c r="Q68" s="29" t="s">
        <v>85</v>
      </c>
      <c r="R68" s="42"/>
      <c r="S68" s="42"/>
      <c r="T68" s="42"/>
      <c r="U68" s="42"/>
      <c r="V68" s="42"/>
      <c r="W68" s="42"/>
      <c r="X68" s="42"/>
      <c r="Y68" s="42"/>
      <c r="Z68" s="42"/>
      <c r="AA68" s="42"/>
      <c r="AB68" s="42"/>
      <c r="AC68" s="51"/>
      <c r="AD68" s="52"/>
      <c r="AE68" s="16"/>
      <c r="AF68" s="52">
        <v>1</v>
      </c>
      <c r="AG68" s="58" t="s">
        <v>86</v>
      </c>
    </row>
    <row r="69" s="1" customFormat="1" ht="33.75" hidden="1" spans="1:33">
      <c r="A69" s="10">
        <v>64</v>
      </c>
      <c r="B69" s="29" t="s">
        <v>5</v>
      </c>
      <c r="C69" s="16" t="s">
        <v>193</v>
      </c>
      <c r="D69" s="29" t="s">
        <v>242</v>
      </c>
      <c r="E69" s="29" t="s">
        <v>243</v>
      </c>
      <c r="F69" s="29" t="s">
        <v>244</v>
      </c>
      <c r="G69" s="29" t="s">
        <v>245</v>
      </c>
      <c r="H69" s="29"/>
      <c r="I69" s="23" t="s">
        <v>82</v>
      </c>
      <c r="J69" s="31" t="s">
        <v>225</v>
      </c>
      <c r="K69" s="71">
        <v>78</v>
      </c>
      <c r="L69" s="25">
        <v>1434</v>
      </c>
      <c r="M69" s="69">
        <v>3</v>
      </c>
      <c r="N69" s="67" t="s">
        <v>84</v>
      </c>
      <c r="O69" s="31" t="s">
        <v>241</v>
      </c>
      <c r="P69" s="70">
        <v>2868</v>
      </c>
      <c r="Q69" s="29" t="s">
        <v>86</v>
      </c>
      <c r="R69" s="42"/>
      <c r="S69" s="42"/>
      <c r="T69" s="42"/>
      <c r="U69" s="42"/>
      <c r="V69" s="42"/>
      <c r="W69" s="42"/>
      <c r="X69" s="42"/>
      <c r="Y69" s="42"/>
      <c r="Z69" s="42"/>
      <c r="AA69" s="42"/>
      <c r="AB69" s="42"/>
      <c r="AC69" s="51"/>
      <c r="AD69" s="52"/>
      <c r="AE69" s="59"/>
      <c r="AF69" s="52">
        <v>1</v>
      </c>
      <c r="AG69" s="58" t="s">
        <v>86</v>
      </c>
    </row>
    <row r="70" s="1" customFormat="1" ht="33.75" hidden="1" spans="1:33">
      <c r="A70" s="10">
        <v>65</v>
      </c>
      <c r="B70" s="29" t="s">
        <v>5</v>
      </c>
      <c r="C70" s="16" t="s">
        <v>193</v>
      </c>
      <c r="D70" s="29" t="s">
        <v>242</v>
      </c>
      <c r="E70" s="29" t="s">
        <v>243</v>
      </c>
      <c r="F70" s="29" t="s">
        <v>246</v>
      </c>
      <c r="G70" s="29" t="s">
        <v>245</v>
      </c>
      <c r="H70" s="29"/>
      <c r="I70" s="23" t="s">
        <v>82</v>
      </c>
      <c r="J70" s="31" t="s">
        <v>225</v>
      </c>
      <c r="K70" s="71">
        <v>77</v>
      </c>
      <c r="L70" s="25">
        <v>1434</v>
      </c>
      <c r="M70" s="69">
        <v>3</v>
      </c>
      <c r="N70" s="27" t="s">
        <v>84</v>
      </c>
      <c r="O70" s="31" t="s">
        <v>209</v>
      </c>
      <c r="P70" s="72">
        <v>2600</v>
      </c>
      <c r="Q70" s="29" t="s">
        <v>86</v>
      </c>
      <c r="R70" s="42"/>
      <c r="S70" s="42"/>
      <c r="T70" s="42"/>
      <c r="U70" s="42"/>
      <c r="V70" s="42"/>
      <c r="W70" s="42"/>
      <c r="X70" s="42"/>
      <c r="Y70" s="42"/>
      <c r="Z70" s="42"/>
      <c r="AA70" s="42"/>
      <c r="AB70" s="42"/>
      <c r="AC70" s="51"/>
      <c r="AD70" s="52"/>
      <c r="AE70" s="59"/>
      <c r="AF70" s="52">
        <v>1</v>
      </c>
      <c r="AG70" s="58" t="s">
        <v>86</v>
      </c>
    </row>
    <row r="71" s="1" customFormat="1" ht="33.75" hidden="1" spans="1:33">
      <c r="A71" s="10">
        <v>66</v>
      </c>
      <c r="B71" s="59" t="s">
        <v>5</v>
      </c>
      <c r="C71" s="17" t="s">
        <v>247</v>
      </c>
      <c r="D71" s="17" t="s">
        <v>248</v>
      </c>
      <c r="E71" s="17" t="s">
        <v>249</v>
      </c>
      <c r="F71" s="17" t="s">
        <v>250</v>
      </c>
      <c r="G71" s="17" t="s">
        <v>80</v>
      </c>
      <c r="H71" s="59"/>
      <c r="I71" s="23" t="s">
        <v>82</v>
      </c>
      <c r="J71" s="16" t="s">
        <v>109</v>
      </c>
      <c r="K71" s="73">
        <v>24</v>
      </c>
      <c r="L71" s="74">
        <v>1349.41</v>
      </c>
      <c r="M71" s="17">
        <v>6</v>
      </c>
      <c r="N71" s="27" t="s">
        <v>84</v>
      </c>
      <c r="O71" s="31" t="s">
        <v>209</v>
      </c>
      <c r="P71" s="72">
        <v>2200</v>
      </c>
      <c r="Q71" s="26" t="s">
        <v>86</v>
      </c>
      <c r="R71" s="42"/>
      <c r="S71" s="42"/>
      <c r="T71" s="42"/>
      <c r="U71" s="42"/>
      <c r="V71" s="42"/>
      <c r="W71" s="42"/>
      <c r="X71" s="42"/>
      <c r="Y71" s="42"/>
      <c r="Z71" s="42"/>
      <c r="AA71" s="42"/>
      <c r="AB71" s="42"/>
      <c r="AC71" s="51"/>
      <c r="AD71" s="52"/>
      <c r="AE71" s="16"/>
      <c r="AF71" s="52">
        <v>1</v>
      </c>
      <c r="AG71" s="58" t="s">
        <v>86</v>
      </c>
    </row>
    <row r="72" s="1" customFormat="1" ht="33.75" hidden="1" spans="1:33">
      <c r="A72" s="10">
        <v>67</v>
      </c>
      <c r="B72" s="59" t="s">
        <v>5</v>
      </c>
      <c r="C72" s="17" t="s">
        <v>247</v>
      </c>
      <c r="D72" s="17" t="s">
        <v>248</v>
      </c>
      <c r="E72" s="17" t="s">
        <v>249</v>
      </c>
      <c r="F72" s="17" t="s">
        <v>251</v>
      </c>
      <c r="G72" s="17" t="s">
        <v>80</v>
      </c>
      <c r="H72" s="59"/>
      <c r="I72" s="23" t="s">
        <v>82</v>
      </c>
      <c r="J72" s="16" t="s">
        <v>109</v>
      </c>
      <c r="K72" s="73">
        <v>20</v>
      </c>
      <c r="L72" s="74">
        <v>1187.3</v>
      </c>
      <c r="M72" s="17">
        <v>5</v>
      </c>
      <c r="N72" s="27" t="s">
        <v>84</v>
      </c>
      <c r="O72" s="31" t="s">
        <v>209</v>
      </c>
      <c r="P72" s="72">
        <v>3000</v>
      </c>
      <c r="Q72" s="26" t="s">
        <v>86</v>
      </c>
      <c r="R72" s="42"/>
      <c r="S72" s="42"/>
      <c r="T72" s="42"/>
      <c r="U72" s="42"/>
      <c r="V72" s="42"/>
      <c r="W72" s="42"/>
      <c r="X72" s="42"/>
      <c r="Y72" s="42"/>
      <c r="Z72" s="42"/>
      <c r="AA72" s="42"/>
      <c r="AB72" s="42"/>
      <c r="AC72" s="51"/>
      <c r="AD72" s="52"/>
      <c r="AE72" s="16"/>
      <c r="AF72" s="52">
        <v>1</v>
      </c>
      <c r="AG72" s="58" t="s">
        <v>86</v>
      </c>
    </row>
    <row r="73" s="1" customFormat="1" ht="33.75" hidden="1" spans="1:33">
      <c r="A73" s="10">
        <v>68</v>
      </c>
      <c r="B73" s="59" t="s">
        <v>5</v>
      </c>
      <c r="C73" s="17" t="s">
        <v>247</v>
      </c>
      <c r="D73" s="17" t="s">
        <v>248</v>
      </c>
      <c r="E73" s="17" t="s">
        <v>249</v>
      </c>
      <c r="F73" s="17" t="s">
        <v>252</v>
      </c>
      <c r="G73" s="17" t="s">
        <v>253</v>
      </c>
      <c r="H73" s="59"/>
      <c r="I73" s="23" t="s">
        <v>82</v>
      </c>
      <c r="J73" s="16" t="s">
        <v>109</v>
      </c>
      <c r="K73" s="73">
        <v>40</v>
      </c>
      <c r="L73" s="74">
        <v>1560</v>
      </c>
      <c r="M73" s="17">
        <v>2</v>
      </c>
      <c r="N73" s="27" t="s">
        <v>84</v>
      </c>
      <c r="O73" s="31" t="s">
        <v>209</v>
      </c>
      <c r="P73" s="72">
        <v>2000</v>
      </c>
      <c r="Q73" s="26" t="s">
        <v>86</v>
      </c>
      <c r="R73" s="42"/>
      <c r="S73" s="42"/>
      <c r="T73" s="42"/>
      <c r="U73" s="42"/>
      <c r="V73" s="42"/>
      <c r="W73" s="42"/>
      <c r="X73" s="42"/>
      <c r="Y73" s="42"/>
      <c r="Z73" s="42"/>
      <c r="AA73" s="42"/>
      <c r="AB73" s="42"/>
      <c r="AC73" s="51"/>
      <c r="AD73" s="52"/>
      <c r="AE73" s="16"/>
      <c r="AF73" s="52">
        <v>1</v>
      </c>
      <c r="AG73" s="58" t="s">
        <v>86</v>
      </c>
    </row>
    <row r="74" s="1" customFormat="1" ht="33.75" hidden="1" spans="1:33">
      <c r="A74" s="10">
        <v>69</v>
      </c>
      <c r="B74" s="59" t="s">
        <v>5</v>
      </c>
      <c r="C74" s="17" t="s">
        <v>247</v>
      </c>
      <c r="D74" s="17" t="s">
        <v>248</v>
      </c>
      <c r="E74" s="17" t="s">
        <v>254</v>
      </c>
      <c r="F74" s="17" t="s">
        <v>255</v>
      </c>
      <c r="G74" s="17" t="s">
        <v>80</v>
      </c>
      <c r="H74" s="59"/>
      <c r="I74" s="23" t="s">
        <v>82</v>
      </c>
      <c r="J74" s="16" t="s">
        <v>109</v>
      </c>
      <c r="K74" s="73">
        <v>25</v>
      </c>
      <c r="L74" s="74">
        <v>1049</v>
      </c>
      <c r="M74" s="17">
        <v>2</v>
      </c>
      <c r="N74" s="27" t="s">
        <v>84</v>
      </c>
      <c r="O74" s="31" t="s">
        <v>209</v>
      </c>
      <c r="P74" s="72">
        <v>3000</v>
      </c>
      <c r="Q74" s="26" t="s">
        <v>86</v>
      </c>
      <c r="R74" s="42"/>
      <c r="S74" s="42"/>
      <c r="T74" s="42"/>
      <c r="U74" s="42"/>
      <c r="V74" s="42"/>
      <c r="W74" s="42"/>
      <c r="X74" s="42"/>
      <c r="Y74" s="42"/>
      <c r="Z74" s="42"/>
      <c r="AA74" s="42"/>
      <c r="AB74" s="42"/>
      <c r="AC74" s="51"/>
      <c r="AD74" s="52"/>
      <c r="AE74" s="16"/>
      <c r="AF74" s="52">
        <v>1</v>
      </c>
      <c r="AG74" s="58" t="s">
        <v>86</v>
      </c>
    </row>
    <row r="75" s="1" customFormat="1" ht="33.75" hidden="1" spans="1:33">
      <c r="A75" s="10">
        <v>70</v>
      </c>
      <c r="B75" s="59" t="s">
        <v>5</v>
      </c>
      <c r="C75" s="17" t="s">
        <v>247</v>
      </c>
      <c r="D75" s="17" t="s">
        <v>248</v>
      </c>
      <c r="E75" s="17" t="s">
        <v>254</v>
      </c>
      <c r="F75" s="17" t="s">
        <v>256</v>
      </c>
      <c r="G75" s="17" t="s">
        <v>80</v>
      </c>
      <c r="H75" s="59"/>
      <c r="I75" s="23" t="s">
        <v>82</v>
      </c>
      <c r="J75" s="16" t="s">
        <v>109</v>
      </c>
      <c r="K75" s="73">
        <v>36</v>
      </c>
      <c r="L75" s="74">
        <v>1508</v>
      </c>
      <c r="M75" s="17">
        <v>4</v>
      </c>
      <c r="N75" s="30" t="s">
        <v>84</v>
      </c>
      <c r="O75" s="28" t="s">
        <v>209</v>
      </c>
      <c r="P75" s="25">
        <v>1900</v>
      </c>
      <c r="Q75" s="26" t="s">
        <v>86</v>
      </c>
      <c r="R75" s="42"/>
      <c r="S75" s="42"/>
      <c r="T75" s="42"/>
      <c r="U75" s="42"/>
      <c r="V75" s="42"/>
      <c r="W75" s="42"/>
      <c r="X75" s="42"/>
      <c r="Y75" s="42"/>
      <c r="Z75" s="42"/>
      <c r="AA75" s="42"/>
      <c r="AB75" s="42"/>
      <c r="AC75" s="51"/>
      <c r="AD75" s="52"/>
      <c r="AE75" s="16"/>
      <c r="AF75" s="52">
        <v>1</v>
      </c>
      <c r="AG75" s="58" t="s">
        <v>86</v>
      </c>
    </row>
    <row r="76" s="1" customFormat="1" ht="33.75" hidden="1" spans="1:33">
      <c r="A76" s="10">
        <v>71</v>
      </c>
      <c r="B76" s="59" t="s">
        <v>5</v>
      </c>
      <c r="C76" s="17" t="s">
        <v>205</v>
      </c>
      <c r="D76" s="17" t="s">
        <v>257</v>
      </c>
      <c r="E76" s="17" t="s">
        <v>258</v>
      </c>
      <c r="F76" s="17" t="s">
        <v>259</v>
      </c>
      <c r="G76" s="17" t="s">
        <v>205</v>
      </c>
      <c r="H76" s="59"/>
      <c r="I76" s="23" t="s">
        <v>82</v>
      </c>
      <c r="J76" s="16" t="s">
        <v>109</v>
      </c>
      <c r="K76" s="73">
        <v>63</v>
      </c>
      <c r="L76" s="74">
        <v>3827.6</v>
      </c>
      <c r="M76" s="17">
        <v>5</v>
      </c>
      <c r="N76" s="27" t="s">
        <v>84</v>
      </c>
      <c r="O76" s="31" t="s">
        <v>27</v>
      </c>
      <c r="P76" s="25">
        <v>1200</v>
      </c>
      <c r="Q76" s="26" t="s">
        <v>85</v>
      </c>
      <c r="R76" s="42"/>
      <c r="S76" s="42"/>
      <c r="T76" s="42"/>
      <c r="U76" s="42"/>
      <c r="V76" s="42"/>
      <c r="W76" s="42"/>
      <c r="X76" s="42"/>
      <c r="Y76" s="42"/>
      <c r="Z76" s="42"/>
      <c r="AA76" s="42"/>
      <c r="AB76" s="42"/>
      <c r="AC76" s="51"/>
      <c r="AD76" s="52"/>
      <c r="AE76" s="16"/>
      <c r="AF76" s="52">
        <v>1</v>
      </c>
      <c r="AG76" s="58" t="s">
        <v>86</v>
      </c>
    </row>
    <row r="77" s="1" customFormat="1" ht="22.5" hidden="1" spans="1:33">
      <c r="A77" s="10">
        <v>72</v>
      </c>
      <c r="B77" s="59" t="s">
        <v>5</v>
      </c>
      <c r="C77" s="17" t="s">
        <v>205</v>
      </c>
      <c r="D77" s="17" t="s">
        <v>260</v>
      </c>
      <c r="E77" s="17" t="s">
        <v>261</v>
      </c>
      <c r="F77" s="17" t="s">
        <v>261</v>
      </c>
      <c r="G77" s="17" t="s">
        <v>262</v>
      </c>
      <c r="H77" s="59"/>
      <c r="I77" s="23" t="s">
        <v>215</v>
      </c>
      <c r="J77" s="16" t="s">
        <v>83</v>
      </c>
      <c r="K77" s="73">
        <v>32</v>
      </c>
      <c r="L77" s="74">
        <v>1508.08</v>
      </c>
      <c r="M77" s="17">
        <v>4</v>
      </c>
      <c r="N77" s="27" t="s">
        <v>84</v>
      </c>
      <c r="O77" s="31" t="s">
        <v>27</v>
      </c>
      <c r="P77" s="25">
        <v>460</v>
      </c>
      <c r="Q77" s="26" t="s">
        <v>85</v>
      </c>
      <c r="R77" s="42"/>
      <c r="S77" s="42"/>
      <c r="T77" s="42"/>
      <c r="U77" s="42"/>
      <c r="V77" s="42"/>
      <c r="W77" s="42"/>
      <c r="X77" s="42"/>
      <c r="Y77" s="42"/>
      <c r="Z77" s="42"/>
      <c r="AA77" s="42"/>
      <c r="AB77" s="42"/>
      <c r="AC77" s="51"/>
      <c r="AD77" s="52"/>
      <c r="AE77" s="16"/>
      <c r="AF77" s="52">
        <v>1</v>
      </c>
      <c r="AG77" s="58" t="s">
        <v>86</v>
      </c>
    </row>
    <row r="78" s="1" customFormat="1" ht="22.5" hidden="1" spans="1:33">
      <c r="A78" s="10">
        <v>73</v>
      </c>
      <c r="B78" s="59" t="s">
        <v>5</v>
      </c>
      <c r="C78" s="17" t="s">
        <v>205</v>
      </c>
      <c r="D78" s="17" t="s">
        <v>260</v>
      </c>
      <c r="E78" s="17" t="s">
        <v>263</v>
      </c>
      <c r="F78" s="17" t="s">
        <v>263</v>
      </c>
      <c r="G78" s="17" t="s">
        <v>262</v>
      </c>
      <c r="H78" s="59"/>
      <c r="I78" s="23" t="s">
        <v>215</v>
      </c>
      <c r="J78" s="16" t="s">
        <v>83</v>
      </c>
      <c r="K78" s="73">
        <v>38</v>
      </c>
      <c r="L78" s="74">
        <v>1355</v>
      </c>
      <c r="M78" s="17">
        <v>4</v>
      </c>
      <c r="N78" s="27" t="s">
        <v>84</v>
      </c>
      <c r="O78" s="31" t="s">
        <v>27</v>
      </c>
      <c r="P78" s="25">
        <v>410</v>
      </c>
      <c r="Q78" s="26" t="s">
        <v>85</v>
      </c>
      <c r="R78" s="42"/>
      <c r="S78" s="42"/>
      <c r="T78" s="42"/>
      <c r="U78" s="42"/>
      <c r="V78" s="42"/>
      <c r="W78" s="42"/>
      <c r="X78" s="42"/>
      <c r="Y78" s="42"/>
      <c r="Z78" s="42"/>
      <c r="AA78" s="42"/>
      <c r="AB78" s="42"/>
      <c r="AC78" s="51"/>
      <c r="AD78" s="52"/>
      <c r="AE78" s="16"/>
      <c r="AF78" s="52">
        <v>1</v>
      </c>
      <c r="AG78" s="58" t="s">
        <v>86</v>
      </c>
    </row>
    <row r="79" s="1" customFormat="1" ht="33.75" hidden="1" spans="1:33">
      <c r="A79" s="10">
        <v>74</v>
      </c>
      <c r="B79" s="59" t="s">
        <v>5</v>
      </c>
      <c r="C79" s="17" t="s">
        <v>205</v>
      </c>
      <c r="D79" s="17" t="s">
        <v>264</v>
      </c>
      <c r="E79" s="17" t="s">
        <v>265</v>
      </c>
      <c r="F79" s="17" t="s">
        <v>266</v>
      </c>
      <c r="G79" s="29" t="s">
        <v>219</v>
      </c>
      <c r="H79" s="59"/>
      <c r="I79" s="23" t="s">
        <v>215</v>
      </c>
      <c r="J79" s="16" t="s">
        <v>225</v>
      </c>
      <c r="K79" s="75">
        <v>4</v>
      </c>
      <c r="L79" s="59">
        <v>500</v>
      </c>
      <c r="M79" s="69">
        <v>2</v>
      </c>
      <c r="N79" s="27" t="s">
        <v>84</v>
      </c>
      <c r="O79" s="28" t="s">
        <v>209</v>
      </c>
      <c r="P79" s="76">
        <v>900</v>
      </c>
      <c r="Q79" s="26" t="s">
        <v>86</v>
      </c>
      <c r="R79" s="42"/>
      <c r="S79" s="42"/>
      <c r="T79" s="42"/>
      <c r="U79" s="42"/>
      <c r="V79" s="42"/>
      <c r="W79" s="42"/>
      <c r="X79" s="42"/>
      <c r="Y79" s="42"/>
      <c r="Z79" s="42"/>
      <c r="AA79" s="42"/>
      <c r="AB79" s="42"/>
      <c r="AC79" s="51"/>
      <c r="AD79" s="52"/>
      <c r="AE79" s="16"/>
      <c r="AF79" s="52">
        <v>1</v>
      </c>
      <c r="AG79" s="58" t="s">
        <v>86</v>
      </c>
    </row>
    <row r="80" s="1" customFormat="1" ht="33.75" hidden="1" spans="1:33">
      <c r="A80" s="10">
        <v>75</v>
      </c>
      <c r="B80" s="59" t="s">
        <v>5</v>
      </c>
      <c r="C80" s="17" t="s">
        <v>205</v>
      </c>
      <c r="D80" s="17" t="s">
        <v>264</v>
      </c>
      <c r="E80" s="17" t="s">
        <v>267</v>
      </c>
      <c r="F80" s="17" t="s">
        <v>268</v>
      </c>
      <c r="G80" s="29" t="s">
        <v>269</v>
      </c>
      <c r="H80" s="59"/>
      <c r="I80" s="23" t="s">
        <v>215</v>
      </c>
      <c r="J80" s="16" t="s">
        <v>225</v>
      </c>
      <c r="K80" s="75">
        <v>33</v>
      </c>
      <c r="L80" s="59">
        <v>1317.3</v>
      </c>
      <c r="M80" s="29">
        <v>2</v>
      </c>
      <c r="N80" s="77" t="s">
        <v>84</v>
      </c>
      <c r="O80" s="28" t="s">
        <v>209</v>
      </c>
      <c r="P80" s="76">
        <v>2600</v>
      </c>
      <c r="Q80" s="26" t="s">
        <v>86</v>
      </c>
      <c r="R80" s="42"/>
      <c r="S80" s="42"/>
      <c r="T80" s="42"/>
      <c r="U80" s="42"/>
      <c r="V80" s="42"/>
      <c r="W80" s="42"/>
      <c r="X80" s="42"/>
      <c r="Y80" s="42"/>
      <c r="Z80" s="42"/>
      <c r="AA80" s="42"/>
      <c r="AB80" s="42"/>
      <c r="AC80" s="51"/>
      <c r="AD80" s="52"/>
      <c r="AE80" s="16"/>
      <c r="AF80" s="52">
        <v>1</v>
      </c>
      <c r="AG80" s="58" t="s">
        <v>86</v>
      </c>
    </row>
    <row r="81" s="1" customFormat="1" ht="22.5" hidden="1" spans="1:33">
      <c r="A81" s="10">
        <v>76</v>
      </c>
      <c r="B81" s="16" t="s">
        <v>5</v>
      </c>
      <c r="C81" s="16" t="s">
        <v>205</v>
      </c>
      <c r="D81" s="16" t="s">
        <v>216</v>
      </c>
      <c r="E81" s="16" t="s">
        <v>270</v>
      </c>
      <c r="F81" s="16" t="s">
        <v>271</v>
      </c>
      <c r="G81" s="16" t="s">
        <v>272</v>
      </c>
      <c r="H81" s="59"/>
      <c r="I81" s="16" t="s">
        <v>215</v>
      </c>
      <c r="J81" s="16" t="s">
        <v>83</v>
      </c>
      <c r="K81" s="16">
        <v>1</v>
      </c>
      <c r="L81" s="16">
        <v>96.6</v>
      </c>
      <c r="M81" s="16">
        <v>2</v>
      </c>
      <c r="N81" s="28" t="s">
        <v>84</v>
      </c>
      <c r="O81" s="28" t="s">
        <v>27</v>
      </c>
      <c r="P81" s="76">
        <v>30</v>
      </c>
      <c r="Q81" s="16" t="s">
        <v>85</v>
      </c>
      <c r="R81" s="42"/>
      <c r="S81" s="42"/>
      <c r="T81" s="42"/>
      <c r="U81" s="42"/>
      <c r="V81" s="42"/>
      <c r="W81" s="42"/>
      <c r="X81" s="42"/>
      <c r="Y81" s="42"/>
      <c r="Z81" s="42"/>
      <c r="AA81" s="42"/>
      <c r="AB81" s="42"/>
      <c r="AC81" s="51"/>
      <c r="AD81" s="52"/>
      <c r="AE81" s="16"/>
      <c r="AF81" s="52">
        <v>1</v>
      </c>
      <c r="AG81" s="58" t="s">
        <v>86</v>
      </c>
    </row>
    <row r="82" s="1" customFormat="1" ht="22.5" hidden="1" spans="1:33">
      <c r="A82" s="10">
        <v>77</v>
      </c>
      <c r="B82" s="16" t="s">
        <v>5</v>
      </c>
      <c r="C82" s="16" t="s">
        <v>205</v>
      </c>
      <c r="D82" s="16" t="s">
        <v>231</v>
      </c>
      <c r="E82" s="16" t="s">
        <v>273</v>
      </c>
      <c r="F82" s="16" t="s">
        <v>274</v>
      </c>
      <c r="G82" s="16" t="s">
        <v>275</v>
      </c>
      <c r="H82" s="59"/>
      <c r="I82" s="16" t="s">
        <v>215</v>
      </c>
      <c r="J82" s="16" t="s">
        <v>83</v>
      </c>
      <c r="K82" s="16">
        <v>16</v>
      </c>
      <c r="L82" s="16">
        <v>695.8</v>
      </c>
      <c r="M82" s="16">
        <v>4</v>
      </c>
      <c r="N82" s="28" t="s">
        <v>84</v>
      </c>
      <c r="O82" s="28" t="s">
        <v>27</v>
      </c>
      <c r="P82" s="76">
        <v>220</v>
      </c>
      <c r="Q82" s="16" t="s">
        <v>85</v>
      </c>
      <c r="R82" s="42"/>
      <c r="S82" s="42"/>
      <c r="T82" s="42"/>
      <c r="U82" s="42"/>
      <c r="V82" s="42"/>
      <c r="W82" s="42"/>
      <c r="X82" s="42"/>
      <c r="Y82" s="42"/>
      <c r="Z82" s="42"/>
      <c r="AA82" s="42"/>
      <c r="AB82" s="42"/>
      <c r="AC82" s="51"/>
      <c r="AD82" s="52"/>
      <c r="AE82" s="16"/>
      <c r="AF82" s="52">
        <v>1</v>
      </c>
      <c r="AG82" s="58" t="s">
        <v>86</v>
      </c>
    </row>
    <row r="83" s="1" customFormat="1" ht="33.75" hidden="1" spans="1:33">
      <c r="A83" s="10">
        <v>78</v>
      </c>
      <c r="B83" s="59" t="s">
        <v>5</v>
      </c>
      <c r="C83" s="16" t="s">
        <v>276</v>
      </c>
      <c r="D83" s="16" t="s">
        <v>277</v>
      </c>
      <c r="E83" s="16" t="s">
        <v>278</v>
      </c>
      <c r="F83" s="16" t="s">
        <v>279</v>
      </c>
      <c r="G83" s="16" t="s">
        <v>280</v>
      </c>
      <c r="H83" s="59"/>
      <c r="I83" s="23" t="s">
        <v>82</v>
      </c>
      <c r="J83" s="16" t="s">
        <v>109</v>
      </c>
      <c r="K83" s="26">
        <v>35</v>
      </c>
      <c r="L83" s="26">
        <v>1500</v>
      </c>
      <c r="M83" s="26">
        <v>3</v>
      </c>
      <c r="N83" s="27" t="s">
        <v>89</v>
      </c>
      <c r="O83" s="78" t="s">
        <v>21</v>
      </c>
      <c r="P83" s="79">
        <v>150</v>
      </c>
      <c r="Q83" s="88" t="s">
        <v>85</v>
      </c>
      <c r="R83" s="42"/>
      <c r="S83" s="42"/>
      <c r="T83" s="42"/>
      <c r="U83" s="42"/>
      <c r="V83" s="42"/>
      <c r="W83" s="42"/>
      <c r="X83" s="42"/>
      <c r="Y83" s="42"/>
      <c r="Z83" s="42"/>
      <c r="AA83" s="42"/>
      <c r="AB83" s="42"/>
      <c r="AC83" s="51"/>
      <c r="AD83" s="52"/>
      <c r="AE83" s="16"/>
      <c r="AF83" s="52">
        <v>1</v>
      </c>
      <c r="AG83" s="58" t="s">
        <v>86</v>
      </c>
    </row>
    <row r="84" s="1" customFormat="1" ht="33.75" hidden="1" spans="1:33">
      <c r="A84" s="10">
        <v>79</v>
      </c>
      <c r="B84" s="59" t="s">
        <v>5</v>
      </c>
      <c r="C84" s="16" t="s">
        <v>276</v>
      </c>
      <c r="D84" s="16" t="s">
        <v>277</v>
      </c>
      <c r="E84" s="16" t="s">
        <v>278</v>
      </c>
      <c r="F84" s="16" t="s">
        <v>281</v>
      </c>
      <c r="G84" s="16" t="s">
        <v>280</v>
      </c>
      <c r="H84" s="59"/>
      <c r="I84" s="23" t="s">
        <v>82</v>
      </c>
      <c r="J84" s="16" t="s">
        <v>109</v>
      </c>
      <c r="K84" s="26">
        <v>62</v>
      </c>
      <c r="L84" s="26">
        <v>2700</v>
      </c>
      <c r="M84" s="26">
        <v>5</v>
      </c>
      <c r="N84" s="27" t="s">
        <v>89</v>
      </c>
      <c r="O84" s="78" t="s">
        <v>21</v>
      </c>
      <c r="P84" s="79">
        <v>270</v>
      </c>
      <c r="Q84" s="88" t="s">
        <v>85</v>
      </c>
      <c r="R84" s="42"/>
      <c r="S84" s="42"/>
      <c r="T84" s="42"/>
      <c r="U84" s="42"/>
      <c r="V84" s="42"/>
      <c r="W84" s="42"/>
      <c r="X84" s="42"/>
      <c r="Y84" s="42"/>
      <c r="Z84" s="42"/>
      <c r="AA84" s="42"/>
      <c r="AB84" s="42"/>
      <c r="AC84" s="51"/>
      <c r="AD84" s="52"/>
      <c r="AE84" s="16"/>
      <c r="AF84" s="52">
        <v>1</v>
      </c>
      <c r="AG84" s="58" t="s">
        <v>86</v>
      </c>
    </row>
    <row r="85" s="1" customFormat="1" ht="33.75" hidden="1" spans="1:33">
      <c r="A85" s="10">
        <v>80</v>
      </c>
      <c r="B85" s="59" t="s">
        <v>5</v>
      </c>
      <c r="C85" s="16" t="s">
        <v>276</v>
      </c>
      <c r="D85" s="16" t="s">
        <v>277</v>
      </c>
      <c r="E85" s="16" t="s">
        <v>278</v>
      </c>
      <c r="F85" s="16" t="s">
        <v>282</v>
      </c>
      <c r="G85" s="16" t="s">
        <v>283</v>
      </c>
      <c r="H85" s="59"/>
      <c r="I85" s="23" t="s">
        <v>82</v>
      </c>
      <c r="J85" s="16" t="s">
        <v>109</v>
      </c>
      <c r="K85" s="26">
        <v>37</v>
      </c>
      <c r="L85" s="26">
        <v>1399.21</v>
      </c>
      <c r="M85" s="26">
        <v>3</v>
      </c>
      <c r="N85" s="27" t="s">
        <v>84</v>
      </c>
      <c r="O85" s="78" t="s">
        <v>21</v>
      </c>
      <c r="P85" s="79">
        <v>139.921</v>
      </c>
      <c r="Q85" s="88" t="s">
        <v>85</v>
      </c>
      <c r="R85" s="42"/>
      <c r="S85" s="42"/>
      <c r="T85" s="42"/>
      <c r="U85" s="42"/>
      <c r="V85" s="42"/>
      <c r="W85" s="42"/>
      <c r="X85" s="42"/>
      <c r="Y85" s="42"/>
      <c r="Z85" s="42"/>
      <c r="AA85" s="42"/>
      <c r="AB85" s="42"/>
      <c r="AC85" s="51"/>
      <c r="AD85" s="52"/>
      <c r="AE85" s="16"/>
      <c r="AF85" s="52">
        <v>1</v>
      </c>
      <c r="AG85" s="58" t="s">
        <v>86</v>
      </c>
    </row>
    <row r="86" s="1" customFormat="1" ht="33.75" hidden="1" spans="1:33">
      <c r="A86" s="10">
        <v>81</v>
      </c>
      <c r="B86" s="59" t="s">
        <v>5</v>
      </c>
      <c r="C86" s="16" t="s">
        <v>276</v>
      </c>
      <c r="D86" s="16" t="s">
        <v>277</v>
      </c>
      <c r="E86" s="16" t="s">
        <v>278</v>
      </c>
      <c r="F86" s="16" t="s">
        <v>284</v>
      </c>
      <c r="G86" s="16" t="s">
        <v>283</v>
      </c>
      <c r="H86" s="59"/>
      <c r="I86" s="23" t="s">
        <v>82</v>
      </c>
      <c r="J86" s="16" t="s">
        <v>109</v>
      </c>
      <c r="K86" s="26">
        <v>42</v>
      </c>
      <c r="L86" s="26">
        <v>1433.96</v>
      </c>
      <c r="M86" s="26">
        <v>3</v>
      </c>
      <c r="N86" s="27" t="s">
        <v>84</v>
      </c>
      <c r="O86" s="78" t="s">
        <v>21</v>
      </c>
      <c r="P86" s="79">
        <v>143.396</v>
      </c>
      <c r="Q86" s="88" t="s">
        <v>85</v>
      </c>
      <c r="R86" s="42"/>
      <c r="S86" s="42"/>
      <c r="T86" s="42"/>
      <c r="U86" s="42"/>
      <c r="V86" s="42"/>
      <c r="W86" s="42"/>
      <c r="X86" s="42"/>
      <c r="Y86" s="42"/>
      <c r="Z86" s="42"/>
      <c r="AA86" s="42"/>
      <c r="AB86" s="42"/>
      <c r="AC86" s="51"/>
      <c r="AD86" s="52"/>
      <c r="AE86" s="16"/>
      <c r="AF86" s="52">
        <v>1</v>
      </c>
      <c r="AG86" s="58" t="s">
        <v>86</v>
      </c>
    </row>
    <row r="87" s="1" customFormat="1" ht="33.75" hidden="1" spans="1:33">
      <c r="A87" s="10">
        <v>82</v>
      </c>
      <c r="B87" s="59" t="s">
        <v>5</v>
      </c>
      <c r="C87" s="17" t="s">
        <v>285</v>
      </c>
      <c r="D87" s="17" t="s">
        <v>286</v>
      </c>
      <c r="E87" s="17" t="s">
        <v>287</v>
      </c>
      <c r="F87" s="17" t="s">
        <v>287</v>
      </c>
      <c r="G87" s="17" t="s">
        <v>288</v>
      </c>
      <c r="H87" s="59"/>
      <c r="I87" s="23" t="s">
        <v>82</v>
      </c>
      <c r="J87" s="16" t="s">
        <v>83</v>
      </c>
      <c r="K87" s="73">
        <v>1</v>
      </c>
      <c r="L87" s="74">
        <v>51.58</v>
      </c>
      <c r="M87" s="17">
        <v>1</v>
      </c>
      <c r="N87" s="27" t="s">
        <v>89</v>
      </c>
      <c r="O87" s="31" t="s">
        <v>21</v>
      </c>
      <c r="P87" s="80">
        <v>1.03</v>
      </c>
      <c r="Q87" s="88" t="s">
        <v>85</v>
      </c>
      <c r="R87" s="42"/>
      <c r="S87" s="42"/>
      <c r="T87" s="42"/>
      <c r="U87" s="42"/>
      <c r="V87" s="42"/>
      <c r="W87" s="42"/>
      <c r="X87" s="42"/>
      <c r="Y87" s="42"/>
      <c r="Z87" s="42"/>
      <c r="AA87" s="42"/>
      <c r="AB87" s="42"/>
      <c r="AC87" s="51"/>
      <c r="AD87" s="52"/>
      <c r="AE87" s="16"/>
      <c r="AF87" s="52">
        <v>1</v>
      </c>
      <c r="AG87" s="58" t="s">
        <v>86</v>
      </c>
    </row>
    <row r="88" s="1" customFormat="1" ht="33.75" hidden="1" spans="1:33">
      <c r="A88" s="10">
        <v>83</v>
      </c>
      <c r="B88" s="59" t="s">
        <v>5</v>
      </c>
      <c r="C88" s="17" t="s">
        <v>285</v>
      </c>
      <c r="D88" s="17" t="s">
        <v>286</v>
      </c>
      <c r="E88" s="17" t="s">
        <v>289</v>
      </c>
      <c r="F88" s="17" t="s">
        <v>289</v>
      </c>
      <c r="G88" s="17" t="s">
        <v>290</v>
      </c>
      <c r="H88" s="59"/>
      <c r="I88" s="23" t="s">
        <v>82</v>
      </c>
      <c r="J88" s="16" t="s">
        <v>83</v>
      </c>
      <c r="K88" s="73">
        <v>1</v>
      </c>
      <c r="L88" s="74">
        <v>185.72</v>
      </c>
      <c r="M88" s="17">
        <v>1</v>
      </c>
      <c r="N88" s="27" t="s">
        <v>89</v>
      </c>
      <c r="O88" s="31" t="s">
        <v>21</v>
      </c>
      <c r="P88" s="80">
        <v>3.71</v>
      </c>
      <c r="Q88" s="88" t="s">
        <v>85</v>
      </c>
      <c r="R88" s="42"/>
      <c r="S88" s="42"/>
      <c r="T88" s="42"/>
      <c r="U88" s="42"/>
      <c r="V88" s="42"/>
      <c r="W88" s="42"/>
      <c r="X88" s="42"/>
      <c r="Y88" s="42"/>
      <c r="Z88" s="42"/>
      <c r="AA88" s="42"/>
      <c r="AB88" s="42"/>
      <c r="AC88" s="51"/>
      <c r="AD88" s="52"/>
      <c r="AE88" s="16"/>
      <c r="AF88" s="52">
        <v>1</v>
      </c>
      <c r="AG88" s="58" t="s">
        <v>86</v>
      </c>
    </row>
    <row r="89" s="1" customFormat="1" ht="33.75" hidden="1" spans="1:33">
      <c r="A89" s="10">
        <v>84</v>
      </c>
      <c r="B89" s="59" t="s">
        <v>5</v>
      </c>
      <c r="C89" s="17" t="s">
        <v>285</v>
      </c>
      <c r="D89" s="17" t="s">
        <v>286</v>
      </c>
      <c r="E89" s="17" t="s">
        <v>291</v>
      </c>
      <c r="F89" s="17" t="s">
        <v>291</v>
      </c>
      <c r="G89" s="17" t="s">
        <v>292</v>
      </c>
      <c r="H89" s="59"/>
      <c r="I89" s="23" t="s">
        <v>82</v>
      </c>
      <c r="J89" s="16" t="s">
        <v>83</v>
      </c>
      <c r="K89" s="73">
        <v>1</v>
      </c>
      <c r="L89" s="74">
        <v>90.89</v>
      </c>
      <c r="M89" s="17">
        <v>1</v>
      </c>
      <c r="N89" s="27" t="s">
        <v>89</v>
      </c>
      <c r="O89" s="31" t="s">
        <v>21</v>
      </c>
      <c r="P89" s="80">
        <v>1.82</v>
      </c>
      <c r="Q89" s="88" t="s">
        <v>85</v>
      </c>
      <c r="R89" s="42"/>
      <c r="S89" s="42"/>
      <c r="T89" s="42"/>
      <c r="U89" s="42"/>
      <c r="V89" s="42"/>
      <c r="W89" s="42"/>
      <c r="X89" s="42"/>
      <c r="Y89" s="42"/>
      <c r="Z89" s="42"/>
      <c r="AA89" s="42"/>
      <c r="AB89" s="42"/>
      <c r="AC89" s="51"/>
      <c r="AD89" s="52"/>
      <c r="AE89" s="16"/>
      <c r="AF89" s="52">
        <v>1</v>
      </c>
      <c r="AG89" s="58" t="s">
        <v>86</v>
      </c>
    </row>
    <row r="90" s="1" customFormat="1" ht="33.75" hidden="1" spans="1:33">
      <c r="A90" s="10">
        <v>85</v>
      </c>
      <c r="B90" s="59" t="s">
        <v>5</v>
      </c>
      <c r="C90" s="17" t="s">
        <v>285</v>
      </c>
      <c r="D90" s="17" t="s">
        <v>286</v>
      </c>
      <c r="E90" s="17" t="s">
        <v>293</v>
      </c>
      <c r="F90" s="17" t="s">
        <v>293</v>
      </c>
      <c r="G90" s="17" t="s">
        <v>294</v>
      </c>
      <c r="H90" s="59"/>
      <c r="I90" s="23" t="s">
        <v>82</v>
      </c>
      <c r="J90" s="16" t="s">
        <v>83</v>
      </c>
      <c r="K90" s="73">
        <v>1</v>
      </c>
      <c r="L90" s="74">
        <v>71.42</v>
      </c>
      <c r="M90" s="17">
        <v>1</v>
      </c>
      <c r="N90" s="27" t="s">
        <v>89</v>
      </c>
      <c r="O90" s="31" t="s">
        <v>21</v>
      </c>
      <c r="P90" s="80">
        <v>1.4</v>
      </c>
      <c r="Q90" s="88" t="s">
        <v>85</v>
      </c>
      <c r="R90" s="42"/>
      <c r="S90" s="42"/>
      <c r="T90" s="42"/>
      <c r="U90" s="42"/>
      <c r="V90" s="42"/>
      <c r="W90" s="42"/>
      <c r="X90" s="42"/>
      <c r="Y90" s="42"/>
      <c r="Z90" s="42"/>
      <c r="AA90" s="42"/>
      <c r="AB90" s="42"/>
      <c r="AC90" s="51"/>
      <c r="AD90" s="52"/>
      <c r="AE90" s="16"/>
      <c r="AF90" s="52">
        <v>1</v>
      </c>
      <c r="AG90" s="58" t="s">
        <v>86</v>
      </c>
    </row>
    <row r="91" s="1" customFormat="1" ht="33.75" hidden="1" spans="1:33">
      <c r="A91" s="10">
        <v>86</v>
      </c>
      <c r="B91" s="59" t="s">
        <v>5</v>
      </c>
      <c r="C91" s="17" t="s">
        <v>285</v>
      </c>
      <c r="D91" s="17" t="s">
        <v>286</v>
      </c>
      <c r="E91" s="17" t="s">
        <v>295</v>
      </c>
      <c r="F91" s="17" t="s">
        <v>295</v>
      </c>
      <c r="G91" s="17" t="s">
        <v>296</v>
      </c>
      <c r="H91" s="59"/>
      <c r="I91" s="23" t="s">
        <v>82</v>
      </c>
      <c r="J91" s="16" t="s">
        <v>83</v>
      </c>
      <c r="K91" s="73">
        <v>1</v>
      </c>
      <c r="L91" s="74">
        <v>112.38</v>
      </c>
      <c r="M91" s="17">
        <v>1</v>
      </c>
      <c r="N91" s="27" t="s">
        <v>89</v>
      </c>
      <c r="O91" s="31" t="s">
        <v>21</v>
      </c>
      <c r="P91" s="80">
        <v>2.24</v>
      </c>
      <c r="Q91" s="26" t="s">
        <v>85</v>
      </c>
      <c r="R91" s="42"/>
      <c r="S91" s="42"/>
      <c r="T91" s="42"/>
      <c r="U91" s="42"/>
      <c r="V91" s="42"/>
      <c r="W91" s="42"/>
      <c r="X91" s="42"/>
      <c r="Y91" s="42"/>
      <c r="Z91" s="42"/>
      <c r="AA91" s="42"/>
      <c r="AB91" s="42"/>
      <c r="AC91" s="51"/>
      <c r="AD91" s="52"/>
      <c r="AE91" s="16"/>
      <c r="AF91" s="52">
        <v>1</v>
      </c>
      <c r="AG91" s="58" t="s">
        <v>86</v>
      </c>
    </row>
    <row r="92" s="1" customFormat="1" ht="33.75" hidden="1" spans="1:33">
      <c r="A92" s="10">
        <v>87</v>
      </c>
      <c r="B92" s="59" t="s">
        <v>5</v>
      </c>
      <c r="C92" s="17" t="s">
        <v>285</v>
      </c>
      <c r="D92" s="17" t="s">
        <v>286</v>
      </c>
      <c r="E92" s="17" t="s">
        <v>297</v>
      </c>
      <c r="F92" s="17" t="s">
        <v>297</v>
      </c>
      <c r="G92" s="17" t="s">
        <v>298</v>
      </c>
      <c r="H92" s="59"/>
      <c r="I92" s="23" t="s">
        <v>82</v>
      </c>
      <c r="J92" s="16" t="s">
        <v>83</v>
      </c>
      <c r="K92" s="73">
        <v>1</v>
      </c>
      <c r="L92" s="74">
        <v>46.59</v>
      </c>
      <c r="M92" s="17">
        <v>1</v>
      </c>
      <c r="N92" s="27" t="s">
        <v>89</v>
      </c>
      <c r="O92" s="81" t="s">
        <v>21</v>
      </c>
      <c r="P92" s="80">
        <v>0.75</v>
      </c>
      <c r="Q92" s="26" t="s">
        <v>85</v>
      </c>
      <c r="R92" s="42"/>
      <c r="S92" s="42"/>
      <c r="T92" s="42"/>
      <c r="U92" s="42"/>
      <c r="V92" s="42"/>
      <c r="W92" s="42"/>
      <c r="X92" s="42"/>
      <c r="Y92" s="42"/>
      <c r="Z92" s="42"/>
      <c r="AA92" s="42"/>
      <c r="AB92" s="42"/>
      <c r="AC92" s="51"/>
      <c r="AD92" s="52"/>
      <c r="AE92" s="16"/>
      <c r="AF92" s="52">
        <v>1</v>
      </c>
      <c r="AG92" s="58" t="s">
        <v>86</v>
      </c>
    </row>
    <row r="93" s="1" customFormat="1" ht="33.75" hidden="1" spans="1:33">
      <c r="A93" s="10">
        <v>88</v>
      </c>
      <c r="B93" s="59" t="s">
        <v>5</v>
      </c>
      <c r="C93" s="17" t="s">
        <v>285</v>
      </c>
      <c r="D93" s="17" t="s">
        <v>286</v>
      </c>
      <c r="E93" s="17" t="s">
        <v>299</v>
      </c>
      <c r="F93" s="17" t="s">
        <v>299</v>
      </c>
      <c r="G93" s="17" t="s">
        <v>300</v>
      </c>
      <c r="H93" s="59"/>
      <c r="I93" s="23" t="s">
        <v>82</v>
      </c>
      <c r="J93" s="16" t="s">
        <v>83</v>
      </c>
      <c r="K93" s="73">
        <v>1</v>
      </c>
      <c r="L93" s="74">
        <v>37.4</v>
      </c>
      <c r="M93" s="17">
        <v>1</v>
      </c>
      <c r="N93" s="27" t="s">
        <v>89</v>
      </c>
      <c r="O93" s="81" t="s">
        <v>21</v>
      </c>
      <c r="P93" s="80">
        <v>0.75</v>
      </c>
      <c r="Q93" s="26" t="s">
        <v>86</v>
      </c>
      <c r="R93" s="42"/>
      <c r="S93" s="42"/>
      <c r="T93" s="42"/>
      <c r="U93" s="42"/>
      <c r="V93" s="42"/>
      <c r="W93" s="42"/>
      <c r="X93" s="42"/>
      <c r="Y93" s="42"/>
      <c r="Z93" s="42"/>
      <c r="AA93" s="42"/>
      <c r="AB93" s="42"/>
      <c r="AC93" s="51"/>
      <c r="AD93" s="52"/>
      <c r="AE93" s="16"/>
      <c r="AF93" s="52">
        <v>1</v>
      </c>
      <c r="AG93" s="58" t="s">
        <v>86</v>
      </c>
    </row>
    <row r="94" s="1" customFormat="1" ht="33.75" hidden="1" spans="1:33">
      <c r="A94" s="10">
        <v>89</v>
      </c>
      <c r="B94" s="59" t="s">
        <v>5</v>
      </c>
      <c r="C94" s="17" t="s">
        <v>285</v>
      </c>
      <c r="D94" s="17" t="s">
        <v>286</v>
      </c>
      <c r="E94" s="17" t="s">
        <v>301</v>
      </c>
      <c r="F94" s="17" t="s">
        <v>301</v>
      </c>
      <c r="G94" s="17" t="s">
        <v>302</v>
      </c>
      <c r="H94" s="59"/>
      <c r="I94" s="23" t="s">
        <v>82</v>
      </c>
      <c r="J94" s="16" t="s">
        <v>83</v>
      </c>
      <c r="K94" s="73">
        <v>1</v>
      </c>
      <c r="L94" s="74">
        <v>115.54</v>
      </c>
      <c r="M94" s="17">
        <v>1</v>
      </c>
      <c r="N94" s="27" t="s">
        <v>89</v>
      </c>
      <c r="O94" s="81" t="s">
        <v>21</v>
      </c>
      <c r="P94" s="80">
        <v>2.31</v>
      </c>
      <c r="Q94" s="26" t="s">
        <v>85</v>
      </c>
      <c r="R94" s="42"/>
      <c r="S94" s="42"/>
      <c r="T94" s="42"/>
      <c r="U94" s="42"/>
      <c r="V94" s="42"/>
      <c r="W94" s="42"/>
      <c r="X94" s="42"/>
      <c r="Y94" s="42"/>
      <c r="Z94" s="42"/>
      <c r="AA94" s="42"/>
      <c r="AB94" s="42"/>
      <c r="AC94" s="51"/>
      <c r="AD94" s="52"/>
      <c r="AE94" s="16"/>
      <c r="AF94" s="52">
        <v>1</v>
      </c>
      <c r="AG94" s="58" t="s">
        <v>86</v>
      </c>
    </row>
    <row r="95" s="1" customFormat="1" ht="33.75" hidden="1" spans="1:33">
      <c r="A95" s="10">
        <v>90</v>
      </c>
      <c r="B95" s="59" t="s">
        <v>5</v>
      </c>
      <c r="C95" s="17" t="s">
        <v>285</v>
      </c>
      <c r="D95" s="17" t="s">
        <v>286</v>
      </c>
      <c r="E95" s="17" t="s">
        <v>303</v>
      </c>
      <c r="F95" s="17" t="s">
        <v>303</v>
      </c>
      <c r="G95" s="17" t="s">
        <v>304</v>
      </c>
      <c r="H95" s="59"/>
      <c r="I95" s="23" t="s">
        <v>82</v>
      </c>
      <c r="J95" s="16" t="s">
        <v>83</v>
      </c>
      <c r="K95" s="73">
        <v>1</v>
      </c>
      <c r="L95" s="74">
        <v>98.02</v>
      </c>
      <c r="M95" s="17">
        <v>1</v>
      </c>
      <c r="N95" s="27" t="s">
        <v>89</v>
      </c>
      <c r="O95" s="81" t="s">
        <v>21</v>
      </c>
      <c r="P95" s="80">
        <v>1.96</v>
      </c>
      <c r="Q95" s="26" t="s">
        <v>85</v>
      </c>
      <c r="R95" s="42"/>
      <c r="S95" s="42"/>
      <c r="T95" s="42"/>
      <c r="U95" s="42"/>
      <c r="V95" s="42"/>
      <c r="W95" s="42"/>
      <c r="X95" s="42"/>
      <c r="Y95" s="42"/>
      <c r="Z95" s="42"/>
      <c r="AA95" s="42"/>
      <c r="AB95" s="42"/>
      <c r="AC95" s="51"/>
      <c r="AD95" s="52"/>
      <c r="AE95" s="16"/>
      <c r="AF95" s="52">
        <v>1</v>
      </c>
      <c r="AG95" s="58" t="s">
        <v>86</v>
      </c>
    </row>
    <row r="96" s="1" customFormat="1" ht="33.75" hidden="1" spans="1:33">
      <c r="A96" s="10">
        <v>91</v>
      </c>
      <c r="B96" s="59" t="s">
        <v>5</v>
      </c>
      <c r="C96" s="17" t="s">
        <v>285</v>
      </c>
      <c r="D96" s="17" t="s">
        <v>286</v>
      </c>
      <c r="E96" s="17" t="s">
        <v>305</v>
      </c>
      <c r="F96" s="17" t="s">
        <v>305</v>
      </c>
      <c r="G96" s="17" t="s">
        <v>306</v>
      </c>
      <c r="H96" s="59"/>
      <c r="I96" s="23" t="s">
        <v>82</v>
      </c>
      <c r="J96" s="16" t="s">
        <v>83</v>
      </c>
      <c r="K96" s="73">
        <v>1</v>
      </c>
      <c r="L96" s="74">
        <v>69.25</v>
      </c>
      <c r="M96" s="17">
        <v>1</v>
      </c>
      <c r="N96" s="27" t="s">
        <v>89</v>
      </c>
      <c r="O96" s="81" t="s">
        <v>21</v>
      </c>
      <c r="P96" s="82">
        <v>1.4</v>
      </c>
      <c r="Q96" s="88" t="s">
        <v>85</v>
      </c>
      <c r="R96" s="42"/>
      <c r="S96" s="42"/>
      <c r="T96" s="42"/>
      <c r="U96" s="42"/>
      <c r="V96" s="42"/>
      <c r="W96" s="42"/>
      <c r="X96" s="42"/>
      <c r="Y96" s="42"/>
      <c r="Z96" s="42"/>
      <c r="AA96" s="42"/>
      <c r="AB96" s="42"/>
      <c r="AC96" s="51"/>
      <c r="AD96" s="52"/>
      <c r="AE96" s="16"/>
      <c r="AF96" s="52">
        <v>1</v>
      </c>
      <c r="AG96" s="58" t="s">
        <v>86</v>
      </c>
    </row>
    <row r="97" s="1" customFormat="1" ht="33.75" hidden="1" spans="1:33">
      <c r="A97" s="10">
        <v>92</v>
      </c>
      <c r="B97" s="59" t="s">
        <v>5</v>
      </c>
      <c r="C97" s="17" t="s">
        <v>285</v>
      </c>
      <c r="D97" s="17" t="s">
        <v>286</v>
      </c>
      <c r="E97" s="17" t="s">
        <v>307</v>
      </c>
      <c r="F97" s="17" t="s">
        <v>307</v>
      </c>
      <c r="G97" s="17" t="s">
        <v>308</v>
      </c>
      <c r="H97" s="59"/>
      <c r="I97" s="23" t="s">
        <v>82</v>
      </c>
      <c r="J97" s="16" t="s">
        <v>83</v>
      </c>
      <c r="K97" s="73">
        <v>1</v>
      </c>
      <c r="L97" s="74">
        <v>84.74</v>
      </c>
      <c r="M97" s="17">
        <v>2</v>
      </c>
      <c r="N97" s="27" t="s">
        <v>89</v>
      </c>
      <c r="O97" s="81" t="s">
        <v>21</v>
      </c>
      <c r="P97" s="82">
        <v>1.68</v>
      </c>
      <c r="Q97" s="88" t="s">
        <v>85</v>
      </c>
      <c r="R97" s="42"/>
      <c r="S97" s="42"/>
      <c r="T97" s="42"/>
      <c r="U97" s="42"/>
      <c r="V97" s="42"/>
      <c r="W97" s="42"/>
      <c r="X97" s="42"/>
      <c r="Y97" s="42"/>
      <c r="Z97" s="42"/>
      <c r="AA97" s="42"/>
      <c r="AB97" s="42"/>
      <c r="AC97" s="51"/>
      <c r="AD97" s="52"/>
      <c r="AE97" s="16"/>
      <c r="AF97" s="52">
        <v>1</v>
      </c>
      <c r="AG97" s="58" t="s">
        <v>86</v>
      </c>
    </row>
    <row r="98" s="1" customFormat="1" ht="33.75" hidden="1" spans="1:33">
      <c r="A98" s="10">
        <v>93</v>
      </c>
      <c r="B98" s="59" t="s">
        <v>5</v>
      </c>
      <c r="C98" s="17" t="s">
        <v>285</v>
      </c>
      <c r="D98" s="17" t="s">
        <v>286</v>
      </c>
      <c r="E98" s="17" t="s">
        <v>309</v>
      </c>
      <c r="F98" s="17" t="s">
        <v>309</v>
      </c>
      <c r="G98" s="17" t="s">
        <v>310</v>
      </c>
      <c r="H98" s="59"/>
      <c r="I98" s="23" t="s">
        <v>82</v>
      </c>
      <c r="J98" s="16" t="s">
        <v>83</v>
      </c>
      <c r="K98" s="73">
        <v>1</v>
      </c>
      <c r="L98" s="74">
        <v>93.48</v>
      </c>
      <c r="M98" s="17">
        <v>2</v>
      </c>
      <c r="N98" s="27" t="s">
        <v>89</v>
      </c>
      <c r="O98" s="81" t="s">
        <v>21</v>
      </c>
      <c r="P98" s="82">
        <v>1.8</v>
      </c>
      <c r="Q98" s="88" t="s">
        <v>85</v>
      </c>
      <c r="R98" s="42"/>
      <c r="S98" s="42"/>
      <c r="T98" s="42"/>
      <c r="U98" s="42"/>
      <c r="V98" s="42"/>
      <c r="W98" s="42"/>
      <c r="X98" s="42"/>
      <c r="Y98" s="42"/>
      <c r="Z98" s="42"/>
      <c r="AA98" s="42"/>
      <c r="AB98" s="42"/>
      <c r="AC98" s="51"/>
      <c r="AD98" s="52"/>
      <c r="AE98" s="16"/>
      <c r="AF98" s="52">
        <v>1</v>
      </c>
      <c r="AG98" s="58" t="s">
        <v>86</v>
      </c>
    </row>
    <row r="99" s="1" customFormat="1" ht="33.75" hidden="1" spans="1:33">
      <c r="A99" s="10">
        <v>94</v>
      </c>
      <c r="B99" s="59" t="s">
        <v>5</v>
      </c>
      <c r="C99" s="17" t="s">
        <v>285</v>
      </c>
      <c r="D99" s="17" t="s">
        <v>311</v>
      </c>
      <c r="E99" s="17" t="s">
        <v>312</v>
      </c>
      <c r="F99" s="17" t="s">
        <v>312</v>
      </c>
      <c r="G99" s="17" t="s">
        <v>80</v>
      </c>
      <c r="H99" s="59"/>
      <c r="I99" s="23" t="s">
        <v>82</v>
      </c>
      <c r="J99" s="16" t="s">
        <v>83</v>
      </c>
      <c r="K99" s="73">
        <v>1</v>
      </c>
      <c r="L99" s="74">
        <v>61.35</v>
      </c>
      <c r="M99" s="17">
        <v>1</v>
      </c>
      <c r="N99" s="27" t="s">
        <v>84</v>
      </c>
      <c r="O99" s="81" t="s">
        <v>209</v>
      </c>
      <c r="P99" s="83">
        <v>1.2</v>
      </c>
      <c r="Q99" s="88" t="s">
        <v>86</v>
      </c>
      <c r="R99" s="42"/>
      <c r="S99" s="42"/>
      <c r="T99" s="42"/>
      <c r="U99" s="42"/>
      <c r="V99" s="42"/>
      <c r="W99" s="42"/>
      <c r="X99" s="42"/>
      <c r="Y99" s="42"/>
      <c r="Z99" s="42"/>
      <c r="AA99" s="42"/>
      <c r="AB99" s="42"/>
      <c r="AC99" s="51"/>
      <c r="AD99" s="52"/>
      <c r="AE99" s="16"/>
      <c r="AF99" s="52">
        <v>1</v>
      </c>
      <c r="AG99" s="58" t="s">
        <v>86</v>
      </c>
    </row>
    <row r="100" s="1" customFormat="1" ht="33.75" hidden="1" spans="1:33">
      <c r="A100" s="10">
        <v>95</v>
      </c>
      <c r="B100" s="59" t="s">
        <v>5</v>
      </c>
      <c r="C100" s="17" t="s">
        <v>285</v>
      </c>
      <c r="D100" s="17" t="s">
        <v>311</v>
      </c>
      <c r="E100" s="17" t="s">
        <v>313</v>
      </c>
      <c r="F100" s="17" t="s">
        <v>313</v>
      </c>
      <c r="G100" s="17" t="s">
        <v>80</v>
      </c>
      <c r="H100" s="59"/>
      <c r="I100" s="23" t="s">
        <v>82</v>
      </c>
      <c r="J100" s="16" t="s">
        <v>83</v>
      </c>
      <c r="K100" s="73">
        <v>1</v>
      </c>
      <c r="L100" s="74">
        <v>63.93</v>
      </c>
      <c r="M100" s="17">
        <v>1</v>
      </c>
      <c r="N100" s="27" t="s">
        <v>84</v>
      </c>
      <c r="O100" s="81" t="s">
        <v>209</v>
      </c>
      <c r="P100" s="83">
        <v>1.26</v>
      </c>
      <c r="Q100" s="88" t="s">
        <v>86</v>
      </c>
      <c r="R100" s="42"/>
      <c r="S100" s="42"/>
      <c r="T100" s="42"/>
      <c r="U100" s="42"/>
      <c r="V100" s="42"/>
      <c r="W100" s="42"/>
      <c r="X100" s="42"/>
      <c r="Y100" s="42"/>
      <c r="Z100" s="42"/>
      <c r="AA100" s="42"/>
      <c r="AB100" s="42"/>
      <c r="AC100" s="51"/>
      <c r="AD100" s="52"/>
      <c r="AE100" s="16"/>
      <c r="AF100" s="52">
        <v>1</v>
      </c>
      <c r="AG100" s="58" t="s">
        <v>86</v>
      </c>
    </row>
    <row r="101" s="1" customFormat="1" ht="45" hidden="1" spans="1:33">
      <c r="A101" s="10">
        <v>96</v>
      </c>
      <c r="B101" s="60" t="s">
        <v>5</v>
      </c>
      <c r="C101" s="61" t="s">
        <v>188</v>
      </c>
      <c r="D101" s="61" t="s">
        <v>314</v>
      </c>
      <c r="E101" s="62" t="s">
        <v>315</v>
      </c>
      <c r="F101" s="62" t="s">
        <v>315</v>
      </c>
      <c r="G101" s="61" t="s">
        <v>107</v>
      </c>
      <c r="H101" s="60" t="s">
        <v>316</v>
      </c>
      <c r="I101" s="84" t="s">
        <v>82</v>
      </c>
      <c r="J101" s="60" t="s">
        <v>109</v>
      </c>
      <c r="K101" s="24">
        <v>1</v>
      </c>
      <c r="L101" s="25">
        <v>49.07</v>
      </c>
      <c r="M101" s="62">
        <v>2</v>
      </c>
      <c r="N101" s="85" t="s">
        <v>84</v>
      </c>
      <c r="O101" s="86" t="s">
        <v>21</v>
      </c>
      <c r="P101" s="25">
        <v>7.8512</v>
      </c>
      <c r="Q101" s="60" t="s">
        <v>85</v>
      </c>
      <c r="R101" s="42"/>
      <c r="S101" s="42"/>
      <c r="T101" s="42"/>
      <c r="U101" s="42"/>
      <c r="V101" s="42"/>
      <c r="W101" s="42"/>
      <c r="X101" s="42"/>
      <c r="Y101" s="42"/>
      <c r="Z101" s="42"/>
      <c r="AA101" s="42"/>
      <c r="AB101" s="42"/>
      <c r="AC101" s="51"/>
      <c r="AD101" s="52"/>
      <c r="AE101" s="89"/>
      <c r="AF101" s="52">
        <v>1</v>
      </c>
      <c r="AG101" s="58" t="s">
        <v>85</v>
      </c>
    </row>
    <row r="102" s="1" customFormat="1" ht="33.75" hidden="1" spans="1:33">
      <c r="A102" s="10">
        <v>97</v>
      </c>
      <c r="B102" s="60" t="s">
        <v>5</v>
      </c>
      <c r="C102" s="30" t="s">
        <v>317</v>
      </c>
      <c r="D102" s="61" t="s">
        <v>318</v>
      </c>
      <c r="E102" s="62" t="s">
        <v>319</v>
      </c>
      <c r="F102" s="62" t="s">
        <v>319</v>
      </c>
      <c r="G102" s="61" t="s">
        <v>107</v>
      </c>
      <c r="H102" s="60" t="s">
        <v>320</v>
      </c>
      <c r="I102" s="84" t="s">
        <v>82</v>
      </c>
      <c r="J102" s="60" t="s">
        <v>109</v>
      </c>
      <c r="K102" s="24">
        <v>1</v>
      </c>
      <c r="L102" s="25">
        <v>75.5</v>
      </c>
      <c r="M102" s="62">
        <v>6</v>
      </c>
      <c r="N102" s="61" t="s">
        <v>89</v>
      </c>
      <c r="O102" s="86" t="s">
        <v>21</v>
      </c>
      <c r="P102" s="25">
        <v>10.692171</v>
      </c>
      <c r="Q102" s="60" t="s">
        <v>85</v>
      </c>
      <c r="R102" s="42"/>
      <c r="S102" s="42"/>
      <c r="T102" s="42"/>
      <c r="U102" s="42"/>
      <c r="V102" s="42"/>
      <c r="W102" s="42"/>
      <c r="X102" s="42"/>
      <c r="Y102" s="42"/>
      <c r="Z102" s="42"/>
      <c r="AA102" s="42"/>
      <c r="AB102" s="42"/>
      <c r="AC102" s="51"/>
      <c r="AD102" s="52"/>
      <c r="AE102" s="90"/>
      <c r="AF102" s="52">
        <v>1</v>
      </c>
      <c r="AG102" s="58" t="s">
        <v>85</v>
      </c>
    </row>
    <row r="103" s="1" customFormat="1" ht="33.75" hidden="1" spans="1:33">
      <c r="A103" s="10">
        <v>98</v>
      </c>
      <c r="B103" s="60" t="s">
        <v>5</v>
      </c>
      <c r="C103" s="30" t="s">
        <v>317</v>
      </c>
      <c r="D103" s="61" t="s">
        <v>321</v>
      </c>
      <c r="E103" s="62" t="s">
        <v>322</v>
      </c>
      <c r="F103" s="62" t="s">
        <v>322</v>
      </c>
      <c r="G103" s="61" t="s">
        <v>107</v>
      </c>
      <c r="H103" s="60" t="s">
        <v>320</v>
      </c>
      <c r="I103" s="84" t="s">
        <v>82</v>
      </c>
      <c r="J103" s="60" t="s">
        <v>109</v>
      </c>
      <c r="K103" s="24">
        <v>1</v>
      </c>
      <c r="L103" s="25">
        <v>97.54</v>
      </c>
      <c r="M103" s="62">
        <v>2</v>
      </c>
      <c r="N103" s="61" t="s">
        <v>89</v>
      </c>
      <c r="O103" s="86" t="s">
        <v>21</v>
      </c>
      <c r="P103" s="25">
        <v>11.860707</v>
      </c>
      <c r="Q103" s="60" t="s">
        <v>85</v>
      </c>
      <c r="R103" s="42"/>
      <c r="S103" s="42"/>
      <c r="T103" s="42"/>
      <c r="U103" s="42"/>
      <c r="V103" s="42"/>
      <c r="W103" s="42"/>
      <c r="X103" s="42"/>
      <c r="Y103" s="42"/>
      <c r="Z103" s="42"/>
      <c r="AA103" s="42"/>
      <c r="AB103" s="42"/>
      <c r="AC103" s="51"/>
      <c r="AD103" s="52"/>
      <c r="AE103" s="90"/>
      <c r="AF103" s="52">
        <v>1</v>
      </c>
      <c r="AG103" s="58" t="s">
        <v>85</v>
      </c>
    </row>
    <row r="104" s="1" customFormat="1" ht="33.75" hidden="1" spans="1:33">
      <c r="A104" s="10">
        <v>99</v>
      </c>
      <c r="B104" s="60" t="s">
        <v>5</v>
      </c>
      <c r="C104" s="30" t="s">
        <v>317</v>
      </c>
      <c r="D104" s="61" t="s">
        <v>323</v>
      </c>
      <c r="E104" s="62" t="s">
        <v>324</v>
      </c>
      <c r="F104" s="62" t="s">
        <v>324</v>
      </c>
      <c r="G104" s="61" t="s">
        <v>107</v>
      </c>
      <c r="H104" s="60" t="s">
        <v>325</v>
      </c>
      <c r="I104" s="84" t="s">
        <v>82</v>
      </c>
      <c r="J104" s="60" t="s">
        <v>109</v>
      </c>
      <c r="K104" s="24">
        <v>1</v>
      </c>
      <c r="L104" s="25">
        <v>16.58</v>
      </c>
      <c r="M104" s="62">
        <v>1</v>
      </c>
      <c r="N104" s="61" t="s">
        <v>89</v>
      </c>
      <c r="O104" s="86" t="s">
        <v>21</v>
      </c>
      <c r="P104" s="25">
        <v>2.6528</v>
      </c>
      <c r="Q104" s="60" t="s">
        <v>85</v>
      </c>
      <c r="R104" s="42"/>
      <c r="S104" s="42"/>
      <c r="T104" s="42"/>
      <c r="U104" s="42"/>
      <c r="V104" s="42"/>
      <c r="W104" s="42"/>
      <c r="X104" s="42"/>
      <c r="Y104" s="42"/>
      <c r="Z104" s="42"/>
      <c r="AA104" s="42"/>
      <c r="AB104" s="42"/>
      <c r="AC104" s="51"/>
      <c r="AD104" s="52"/>
      <c r="AE104" s="90"/>
      <c r="AF104" s="52">
        <v>1</v>
      </c>
      <c r="AG104" s="58" t="s">
        <v>85</v>
      </c>
    </row>
    <row r="105" s="1" customFormat="1" ht="33.75" hidden="1" spans="1:33">
      <c r="A105" s="10">
        <v>100</v>
      </c>
      <c r="B105" s="60" t="s">
        <v>5</v>
      </c>
      <c r="C105" s="30" t="s">
        <v>317</v>
      </c>
      <c r="D105" s="61" t="s">
        <v>318</v>
      </c>
      <c r="E105" s="62" t="s">
        <v>326</v>
      </c>
      <c r="F105" s="62" t="s">
        <v>326</v>
      </c>
      <c r="G105" s="61" t="s">
        <v>107</v>
      </c>
      <c r="H105" s="60" t="s">
        <v>320</v>
      </c>
      <c r="I105" s="84" t="s">
        <v>82</v>
      </c>
      <c r="J105" s="60" t="s">
        <v>109</v>
      </c>
      <c r="K105" s="24">
        <v>2</v>
      </c>
      <c r="L105" s="25">
        <v>74.07</v>
      </c>
      <c r="M105" s="62">
        <v>2</v>
      </c>
      <c r="N105" s="61" t="s">
        <v>89</v>
      </c>
      <c r="O105" s="86" t="s">
        <v>21</v>
      </c>
      <c r="P105" s="25">
        <v>11.8512</v>
      </c>
      <c r="Q105" s="60" t="s">
        <v>85</v>
      </c>
      <c r="R105" s="42"/>
      <c r="S105" s="42"/>
      <c r="T105" s="42"/>
      <c r="U105" s="42"/>
      <c r="V105" s="42"/>
      <c r="W105" s="42"/>
      <c r="X105" s="42"/>
      <c r="Y105" s="42"/>
      <c r="Z105" s="42"/>
      <c r="AA105" s="42"/>
      <c r="AB105" s="42"/>
      <c r="AC105" s="51"/>
      <c r="AD105" s="52"/>
      <c r="AE105" s="90"/>
      <c r="AF105" s="52">
        <v>1</v>
      </c>
      <c r="AG105" s="58" t="s">
        <v>85</v>
      </c>
    </row>
    <row r="106" s="1" customFormat="1" ht="45" hidden="1" spans="1:33">
      <c r="A106" s="10">
        <v>101</v>
      </c>
      <c r="B106" s="60" t="s">
        <v>5</v>
      </c>
      <c r="C106" s="30" t="s">
        <v>317</v>
      </c>
      <c r="D106" s="61" t="s">
        <v>327</v>
      </c>
      <c r="E106" s="62" t="s">
        <v>328</v>
      </c>
      <c r="F106" s="62" t="s">
        <v>328</v>
      </c>
      <c r="G106" s="61" t="s">
        <v>107</v>
      </c>
      <c r="H106" s="60" t="s">
        <v>329</v>
      </c>
      <c r="I106" s="84" t="s">
        <v>82</v>
      </c>
      <c r="J106" s="60" t="s">
        <v>109</v>
      </c>
      <c r="K106" s="24">
        <v>1</v>
      </c>
      <c r="L106" s="25">
        <v>27.83</v>
      </c>
      <c r="M106" s="62">
        <v>1</v>
      </c>
      <c r="N106" s="61" t="s">
        <v>89</v>
      </c>
      <c r="O106" s="86" t="s">
        <v>21</v>
      </c>
      <c r="P106" s="25">
        <v>4.4528</v>
      </c>
      <c r="Q106" s="60" t="s">
        <v>85</v>
      </c>
      <c r="R106" s="42"/>
      <c r="S106" s="42"/>
      <c r="T106" s="42"/>
      <c r="U106" s="42"/>
      <c r="V106" s="42"/>
      <c r="W106" s="42"/>
      <c r="X106" s="42"/>
      <c r="Y106" s="42"/>
      <c r="Z106" s="42"/>
      <c r="AA106" s="42"/>
      <c r="AB106" s="42"/>
      <c r="AC106" s="51"/>
      <c r="AD106" s="52"/>
      <c r="AE106" s="90"/>
      <c r="AF106" s="52">
        <v>1</v>
      </c>
      <c r="AG106" s="58" t="s">
        <v>85</v>
      </c>
    </row>
    <row r="107" s="1" customFormat="1" ht="45" hidden="1" spans="1:33">
      <c r="A107" s="10">
        <v>102</v>
      </c>
      <c r="B107" s="60" t="s">
        <v>5</v>
      </c>
      <c r="C107" s="61" t="s">
        <v>188</v>
      </c>
      <c r="D107" s="61" t="s">
        <v>314</v>
      </c>
      <c r="E107" s="62" t="s">
        <v>330</v>
      </c>
      <c r="F107" s="62" t="s">
        <v>330</v>
      </c>
      <c r="G107" s="61" t="s">
        <v>107</v>
      </c>
      <c r="H107" s="60" t="s">
        <v>331</v>
      </c>
      <c r="I107" s="84" t="s">
        <v>82</v>
      </c>
      <c r="J107" s="60" t="s">
        <v>109</v>
      </c>
      <c r="K107" s="24">
        <v>5</v>
      </c>
      <c r="L107" s="25">
        <v>132.78</v>
      </c>
      <c r="M107" s="62">
        <v>1</v>
      </c>
      <c r="N107" s="61" t="s">
        <v>89</v>
      </c>
      <c r="O107" s="86" t="s">
        <v>21</v>
      </c>
      <c r="P107" s="25">
        <v>16.881113</v>
      </c>
      <c r="Q107" s="60" t="s">
        <v>85</v>
      </c>
      <c r="R107" s="42"/>
      <c r="S107" s="42"/>
      <c r="T107" s="42"/>
      <c r="U107" s="42"/>
      <c r="V107" s="42"/>
      <c r="W107" s="42"/>
      <c r="X107" s="42"/>
      <c r="Y107" s="42"/>
      <c r="Z107" s="42"/>
      <c r="AA107" s="42"/>
      <c r="AB107" s="42"/>
      <c r="AC107" s="51"/>
      <c r="AD107" s="52"/>
      <c r="AE107" s="90"/>
      <c r="AF107" s="52">
        <v>1</v>
      </c>
      <c r="AG107" s="58" t="s">
        <v>85</v>
      </c>
    </row>
    <row r="108" s="1" customFormat="1" ht="45" hidden="1" spans="1:33">
      <c r="A108" s="10">
        <v>103</v>
      </c>
      <c r="B108" s="60" t="s">
        <v>5</v>
      </c>
      <c r="C108" s="30" t="s">
        <v>317</v>
      </c>
      <c r="D108" s="61" t="s">
        <v>332</v>
      </c>
      <c r="E108" s="62" t="s">
        <v>333</v>
      </c>
      <c r="F108" s="62" t="s">
        <v>333</v>
      </c>
      <c r="G108" s="61" t="s">
        <v>107</v>
      </c>
      <c r="H108" s="60" t="s">
        <v>334</v>
      </c>
      <c r="I108" s="84" t="s">
        <v>82</v>
      </c>
      <c r="J108" s="60" t="s">
        <v>109</v>
      </c>
      <c r="K108" s="24">
        <v>5</v>
      </c>
      <c r="L108" s="25">
        <v>219.97</v>
      </c>
      <c r="M108" s="62">
        <v>2</v>
      </c>
      <c r="N108" s="61" t="s">
        <v>89</v>
      </c>
      <c r="O108" s="86" t="s">
        <v>21</v>
      </c>
      <c r="P108" s="25">
        <v>24.517025</v>
      </c>
      <c r="Q108" s="60" t="s">
        <v>85</v>
      </c>
      <c r="R108" s="42"/>
      <c r="S108" s="42"/>
      <c r="T108" s="42"/>
      <c r="U108" s="42"/>
      <c r="V108" s="42"/>
      <c r="W108" s="42"/>
      <c r="X108" s="42"/>
      <c r="Y108" s="42"/>
      <c r="Z108" s="42"/>
      <c r="AA108" s="42"/>
      <c r="AB108" s="42"/>
      <c r="AC108" s="51"/>
      <c r="AD108" s="52"/>
      <c r="AE108" s="90"/>
      <c r="AF108" s="52">
        <v>1</v>
      </c>
      <c r="AG108" s="58" t="s">
        <v>85</v>
      </c>
    </row>
    <row r="109" s="1" customFormat="1" ht="45" hidden="1" spans="1:33">
      <c r="A109" s="10">
        <v>104</v>
      </c>
      <c r="B109" s="60" t="s">
        <v>5</v>
      </c>
      <c r="C109" s="30" t="s">
        <v>317</v>
      </c>
      <c r="D109" s="61" t="s">
        <v>335</v>
      </c>
      <c r="E109" s="62" t="s">
        <v>336</v>
      </c>
      <c r="F109" s="62" t="s">
        <v>336</v>
      </c>
      <c r="G109" s="61" t="s">
        <v>107</v>
      </c>
      <c r="H109" s="60" t="s">
        <v>337</v>
      </c>
      <c r="I109" s="84" t="s">
        <v>82</v>
      </c>
      <c r="J109" s="60" t="s">
        <v>109</v>
      </c>
      <c r="K109" s="24">
        <v>3</v>
      </c>
      <c r="L109" s="25">
        <v>184.41</v>
      </c>
      <c r="M109" s="62">
        <v>2</v>
      </c>
      <c r="N109" s="62" t="s">
        <v>84</v>
      </c>
      <c r="O109" s="86" t="s">
        <v>21</v>
      </c>
      <c r="P109" s="25">
        <v>29.5056</v>
      </c>
      <c r="Q109" s="60" t="s">
        <v>85</v>
      </c>
      <c r="R109" s="42"/>
      <c r="S109" s="42"/>
      <c r="T109" s="42"/>
      <c r="U109" s="42"/>
      <c r="V109" s="42"/>
      <c r="W109" s="42"/>
      <c r="X109" s="42"/>
      <c r="Y109" s="42"/>
      <c r="Z109" s="42"/>
      <c r="AA109" s="42"/>
      <c r="AB109" s="42"/>
      <c r="AC109" s="51"/>
      <c r="AD109" s="52"/>
      <c r="AE109" s="90"/>
      <c r="AF109" s="52">
        <v>1</v>
      </c>
      <c r="AG109" s="58" t="s">
        <v>85</v>
      </c>
    </row>
    <row r="110" s="1" customFormat="1" ht="45" hidden="1" spans="1:33">
      <c r="A110" s="10">
        <v>105</v>
      </c>
      <c r="B110" s="28" t="s">
        <v>5</v>
      </c>
      <c r="C110" s="30" t="s">
        <v>317</v>
      </c>
      <c r="D110" s="16" t="s">
        <v>321</v>
      </c>
      <c r="E110" s="28" t="s">
        <v>338</v>
      </c>
      <c r="F110" s="63" t="s">
        <v>339</v>
      </c>
      <c r="G110" s="64" t="s">
        <v>107</v>
      </c>
      <c r="H110" s="63" t="s">
        <v>340</v>
      </c>
      <c r="I110" s="23" t="s">
        <v>177</v>
      </c>
      <c r="J110" s="28" t="s">
        <v>109</v>
      </c>
      <c r="K110" s="24">
        <v>7</v>
      </c>
      <c r="L110" s="25">
        <v>315.02</v>
      </c>
      <c r="M110" s="63">
        <v>1</v>
      </c>
      <c r="N110" s="23" t="s">
        <v>84</v>
      </c>
      <c r="O110" s="26" t="s">
        <v>28</v>
      </c>
      <c r="P110" s="25">
        <v>50.271314</v>
      </c>
      <c r="Q110" s="60" t="s">
        <v>86</v>
      </c>
      <c r="R110" s="42"/>
      <c r="S110" s="42"/>
      <c r="T110" s="42"/>
      <c r="U110" s="42"/>
      <c r="V110" s="42"/>
      <c r="W110" s="42"/>
      <c r="X110" s="42"/>
      <c r="Y110" s="42"/>
      <c r="Z110" s="42"/>
      <c r="AA110" s="42"/>
      <c r="AB110" s="42"/>
      <c r="AC110" s="51"/>
      <c r="AD110" s="52"/>
      <c r="AE110" s="90"/>
      <c r="AF110" s="52">
        <v>1</v>
      </c>
      <c r="AG110" s="58" t="s">
        <v>85</v>
      </c>
    </row>
    <row r="111" s="1" customFormat="1" ht="45" hidden="1" spans="1:33">
      <c r="A111" s="10">
        <v>106</v>
      </c>
      <c r="B111" s="28" t="s">
        <v>5</v>
      </c>
      <c r="C111" s="30" t="s">
        <v>317</v>
      </c>
      <c r="D111" s="16" t="s">
        <v>321</v>
      </c>
      <c r="E111" s="28" t="s">
        <v>341</v>
      </c>
      <c r="F111" s="63" t="s">
        <v>342</v>
      </c>
      <c r="G111" s="64" t="s">
        <v>107</v>
      </c>
      <c r="H111" s="63" t="s">
        <v>343</v>
      </c>
      <c r="I111" s="23" t="s">
        <v>177</v>
      </c>
      <c r="J111" s="28" t="s">
        <v>109</v>
      </c>
      <c r="K111" s="24">
        <v>1</v>
      </c>
      <c r="L111" s="25">
        <v>54.05</v>
      </c>
      <c r="M111" s="63">
        <v>2</v>
      </c>
      <c r="N111" s="23" t="s">
        <v>84</v>
      </c>
      <c r="O111" s="26" t="s">
        <v>27</v>
      </c>
      <c r="P111" s="25">
        <v>16.066963</v>
      </c>
      <c r="Q111" s="26" t="s">
        <v>85</v>
      </c>
      <c r="R111" s="42"/>
      <c r="S111" s="42"/>
      <c r="T111" s="42"/>
      <c r="U111" s="42"/>
      <c r="V111" s="42"/>
      <c r="W111" s="42"/>
      <c r="X111" s="42"/>
      <c r="Y111" s="42"/>
      <c r="Z111" s="42"/>
      <c r="AA111" s="42"/>
      <c r="AB111" s="42"/>
      <c r="AC111" s="51"/>
      <c r="AD111" s="52"/>
      <c r="AE111" s="90"/>
      <c r="AF111" s="52">
        <v>1</v>
      </c>
      <c r="AG111" s="58" t="s">
        <v>85</v>
      </c>
    </row>
    <row r="112" s="1" customFormat="1" ht="45" hidden="1" spans="1:33">
      <c r="A112" s="10">
        <v>107</v>
      </c>
      <c r="B112" s="28" t="s">
        <v>5</v>
      </c>
      <c r="C112" s="16" t="s">
        <v>188</v>
      </c>
      <c r="D112" s="16" t="s">
        <v>344</v>
      </c>
      <c r="E112" s="28" t="s">
        <v>345</v>
      </c>
      <c r="F112" s="63" t="s">
        <v>346</v>
      </c>
      <c r="G112" s="64" t="s">
        <v>107</v>
      </c>
      <c r="H112" s="63" t="s">
        <v>347</v>
      </c>
      <c r="I112" s="23" t="s">
        <v>177</v>
      </c>
      <c r="J112" s="28" t="s">
        <v>179</v>
      </c>
      <c r="K112" s="24">
        <v>2</v>
      </c>
      <c r="L112" s="25">
        <v>569.55</v>
      </c>
      <c r="M112" s="63">
        <v>2</v>
      </c>
      <c r="N112" s="27" t="s">
        <v>84</v>
      </c>
      <c r="O112" s="26" t="s">
        <v>27</v>
      </c>
      <c r="P112" s="25">
        <v>56.792667</v>
      </c>
      <c r="Q112" s="26" t="s">
        <v>85</v>
      </c>
      <c r="R112" s="42"/>
      <c r="S112" s="42"/>
      <c r="T112" s="42"/>
      <c r="U112" s="42"/>
      <c r="V112" s="42"/>
      <c r="W112" s="42"/>
      <c r="X112" s="42"/>
      <c r="Y112" s="42"/>
      <c r="Z112" s="42"/>
      <c r="AA112" s="42"/>
      <c r="AB112" s="42"/>
      <c r="AC112" s="51"/>
      <c r="AD112" s="52"/>
      <c r="AE112" s="90"/>
      <c r="AF112" s="52">
        <v>1</v>
      </c>
      <c r="AG112" s="58" t="s">
        <v>85</v>
      </c>
    </row>
    <row r="113" s="1" customFormat="1" ht="45" hidden="1" spans="1:33">
      <c r="A113" s="10">
        <v>108</v>
      </c>
      <c r="B113" s="28" t="s">
        <v>5</v>
      </c>
      <c r="C113" s="16" t="s">
        <v>188</v>
      </c>
      <c r="D113" s="16" t="s">
        <v>344</v>
      </c>
      <c r="E113" s="28" t="s">
        <v>348</v>
      </c>
      <c r="F113" s="63" t="s">
        <v>349</v>
      </c>
      <c r="G113" s="64" t="s">
        <v>107</v>
      </c>
      <c r="H113" s="63" t="s">
        <v>350</v>
      </c>
      <c r="I113" s="23" t="s">
        <v>177</v>
      </c>
      <c r="J113" s="28" t="s">
        <v>109</v>
      </c>
      <c r="K113" s="24">
        <v>7</v>
      </c>
      <c r="L113" s="25">
        <v>152.69</v>
      </c>
      <c r="M113" s="63">
        <v>2</v>
      </c>
      <c r="N113" s="27" t="s">
        <v>84</v>
      </c>
      <c r="O113" s="26" t="s">
        <v>27</v>
      </c>
      <c r="P113" s="25">
        <v>24.403891</v>
      </c>
      <c r="Q113" s="26" t="s">
        <v>85</v>
      </c>
      <c r="R113" s="42"/>
      <c r="S113" s="42"/>
      <c r="T113" s="42"/>
      <c r="U113" s="42"/>
      <c r="V113" s="42"/>
      <c r="W113" s="42"/>
      <c r="X113" s="42"/>
      <c r="Y113" s="42"/>
      <c r="Z113" s="42"/>
      <c r="AA113" s="42"/>
      <c r="AB113" s="42"/>
      <c r="AC113" s="51"/>
      <c r="AD113" s="52"/>
      <c r="AE113" s="90"/>
      <c r="AF113" s="52">
        <v>1</v>
      </c>
      <c r="AG113" s="58" t="s">
        <v>85</v>
      </c>
    </row>
    <row r="114" s="1" customFormat="1" ht="45" hidden="1" spans="1:33">
      <c r="A114" s="10">
        <v>109</v>
      </c>
      <c r="B114" s="28" t="s">
        <v>5</v>
      </c>
      <c r="C114" s="30" t="s">
        <v>317</v>
      </c>
      <c r="D114" s="16" t="s">
        <v>351</v>
      </c>
      <c r="E114" s="28" t="s">
        <v>352</v>
      </c>
      <c r="F114" s="63" t="s">
        <v>353</v>
      </c>
      <c r="G114" s="64" t="s">
        <v>107</v>
      </c>
      <c r="H114" s="63" t="s">
        <v>354</v>
      </c>
      <c r="I114" s="23" t="s">
        <v>177</v>
      </c>
      <c r="J114" s="28" t="s">
        <v>109</v>
      </c>
      <c r="K114" s="24">
        <v>1</v>
      </c>
      <c r="L114" s="25">
        <v>110.92</v>
      </c>
      <c r="M114" s="63">
        <v>3</v>
      </c>
      <c r="N114" s="23" t="s">
        <v>84</v>
      </c>
      <c r="O114" s="26" t="s">
        <v>27</v>
      </c>
      <c r="P114" s="25">
        <v>33.276</v>
      </c>
      <c r="Q114" s="26" t="s">
        <v>85</v>
      </c>
      <c r="R114" s="42"/>
      <c r="S114" s="42"/>
      <c r="T114" s="42"/>
      <c r="U114" s="42"/>
      <c r="V114" s="42"/>
      <c r="W114" s="42"/>
      <c r="X114" s="42"/>
      <c r="Y114" s="42"/>
      <c r="Z114" s="42"/>
      <c r="AA114" s="42"/>
      <c r="AB114" s="42"/>
      <c r="AC114" s="51"/>
      <c r="AD114" s="52"/>
      <c r="AE114" s="90"/>
      <c r="AF114" s="52">
        <v>1</v>
      </c>
      <c r="AG114" s="58" t="s">
        <v>85</v>
      </c>
    </row>
    <row r="115" s="1" customFormat="1" ht="45" hidden="1" spans="1:33">
      <c r="A115" s="10">
        <v>110</v>
      </c>
      <c r="B115" s="28" t="s">
        <v>5</v>
      </c>
      <c r="C115" s="30" t="s">
        <v>317</v>
      </c>
      <c r="D115" s="16" t="s">
        <v>205</v>
      </c>
      <c r="E115" s="28" t="s">
        <v>355</v>
      </c>
      <c r="F115" s="63" t="s">
        <v>356</v>
      </c>
      <c r="G115" s="64" t="s">
        <v>107</v>
      </c>
      <c r="H115" s="63" t="s">
        <v>357</v>
      </c>
      <c r="I115" s="23" t="s">
        <v>177</v>
      </c>
      <c r="J115" s="28" t="s">
        <v>109</v>
      </c>
      <c r="K115" s="24">
        <v>4</v>
      </c>
      <c r="L115" s="25">
        <v>185.81</v>
      </c>
      <c r="M115" s="63">
        <v>2</v>
      </c>
      <c r="N115" s="27" t="s">
        <v>84</v>
      </c>
      <c r="O115" s="26" t="s">
        <v>27</v>
      </c>
      <c r="P115" s="25">
        <v>29.644193</v>
      </c>
      <c r="Q115" s="26" t="s">
        <v>85</v>
      </c>
      <c r="R115" s="42"/>
      <c r="S115" s="42"/>
      <c r="T115" s="42"/>
      <c r="U115" s="42"/>
      <c r="V115" s="42"/>
      <c r="W115" s="42"/>
      <c r="X115" s="42"/>
      <c r="Y115" s="42"/>
      <c r="Z115" s="42"/>
      <c r="AA115" s="42"/>
      <c r="AB115" s="42"/>
      <c r="AC115" s="51"/>
      <c r="AD115" s="52"/>
      <c r="AE115" s="90"/>
      <c r="AF115" s="52">
        <v>1</v>
      </c>
      <c r="AG115" s="58" t="s">
        <v>85</v>
      </c>
    </row>
    <row r="116" s="1" customFormat="1" ht="45" hidden="1" spans="1:33">
      <c r="A116" s="10">
        <v>111</v>
      </c>
      <c r="B116" s="28" t="s">
        <v>5</v>
      </c>
      <c r="C116" s="30" t="s">
        <v>317</v>
      </c>
      <c r="D116" s="16" t="s">
        <v>335</v>
      </c>
      <c r="E116" s="28" t="s">
        <v>358</v>
      </c>
      <c r="F116" s="63" t="s">
        <v>359</v>
      </c>
      <c r="G116" s="64" t="s">
        <v>107</v>
      </c>
      <c r="H116" s="63" t="s">
        <v>360</v>
      </c>
      <c r="I116" s="23" t="s">
        <v>177</v>
      </c>
      <c r="J116" s="28" t="s">
        <v>109</v>
      </c>
      <c r="K116" s="24">
        <v>8</v>
      </c>
      <c r="L116" s="25">
        <v>201.58</v>
      </c>
      <c r="M116" s="63">
        <v>2</v>
      </c>
      <c r="N116" s="23" t="s">
        <v>84</v>
      </c>
      <c r="O116" s="26" t="s">
        <v>28</v>
      </c>
      <c r="P116" s="25">
        <v>32.2528</v>
      </c>
      <c r="Q116" s="60" t="s">
        <v>86</v>
      </c>
      <c r="R116" s="42"/>
      <c r="S116" s="42"/>
      <c r="T116" s="42"/>
      <c r="U116" s="42"/>
      <c r="V116" s="42"/>
      <c r="W116" s="42"/>
      <c r="X116" s="42"/>
      <c r="Y116" s="42"/>
      <c r="Z116" s="42"/>
      <c r="AA116" s="42"/>
      <c r="AB116" s="42"/>
      <c r="AC116" s="51"/>
      <c r="AD116" s="52"/>
      <c r="AE116" s="90"/>
      <c r="AF116" s="52">
        <v>1</v>
      </c>
      <c r="AG116" s="58" t="s">
        <v>85</v>
      </c>
    </row>
    <row r="117" s="1" customFormat="1" ht="45" hidden="1" spans="1:33">
      <c r="A117" s="10">
        <v>112</v>
      </c>
      <c r="B117" s="28" t="s">
        <v>5</v>
      </c>
      <c r="C117" s="30" t="s">
        <v>317</v>
      </c>
      <c r="D117" s="16" t="s">
        <v>335</v>
      </c>
      <c r="E117" s="28" t="s">
        <v>361</v>
      </c>
      <c r="F117" s="63" t="s">
        <v>362</v>
      </c>
      <c r="G117" s="64" t="s">
        <v>107</v>
      </c>
      <c r="H117" s="63" t="s">
        <v>363</v>
      </c>
      <c r="I117" s="23" t="s">
        <v>177</v>
      </c>
      <c r="J117" s="28" t="s">
        <v>109</v>
      </c>
      <c r="K117" s="24">
        <v>6</v>
      </c>
      <c r="L117" s="25">
        <v>151.06</v>
      </c>
      <c r="M117" s="63">
        <v>2</v>
      </c>
      <c r="N117" s="23" t="s">
        <v>84</v>
      </c>
      <c r="O117" s="26" t="s">
        <v>28</v>
      </c>
      <c r="P117" s="25">
        <v>24.1696</v>
      </c>
      <c r="Q117" s="60" t="s">
        <v>86</v>
      </c>
      <c r="R117" s="42"/>
      <c r="S117" s="42"/>
      <c r="T117" s="42"/>
      <c r="U117" s="42"/>
      <c r="V117" s="42"/>
      <c r="W117" s="42"/>
      <c r="X117" s="42"/>
      <c r="Y117" s="42"/>
      <c r="Z117" s="42"/>
      <c r="AA117" s="42"/>
      <c r="AB117" s="42"/>
      <c r="AC117" s="51"/>
      <c r="AD117" s="52"/>
      <c r="AE117" s="90"/>
      <c r="AF117" s="52">
        <v>1</v>
      </c>
      <c r="AG117" s="58" t="s">
        <v>85</v>
      </c>
    </row>
    <row r="118" s="1" customFormat="1" ht="45" hidden="1" spans="1:33">
      <c r="A118" s="10">
        <v>113</v>
      </c>
      <c r="B118" s="28" t="s">
        <v>5</v>
      </c>
      <c r="C118" s="30" t="s">
        <v>317</v>
      </c>
      <c r="D118" s="16" t="s">
        <v>335</v>
      </c>
      <c r="E118" s="28" t="s">
        <v>364</v>
      </c>
      <c r="F118" s="63" t="s">
        <v>365</v>
      </c>
      <c r="G118" s="64" t="s">
        <v>107</v>
      </c>
      <c r="H118" s="63" t="s">
        <v>366</v>
      </c>
      <c r="I118" s="23" t="s">
        <v>177</v>
      </c>
      <c r="J118" s="28" t="s">
        <v>109</v>
      </c>
      <c r="K118" s="24">
        <v>7</v>
      </c>
      <c r="L118" s="25">
        <v>270.51</v>
      </c>
      <c r="M118" s="63">
        <v>2</v>
      </c>
      <c r="N118" s="23" t="s">
        <v>84</v>
      </c>
      <c r="O118" s="26" t="s">
        <v>28</v>
      </c>
      <c r="P118" s="25">
        <v>43.2816</v>
      </c>
      <c r="Q118" s="60" t="s">
        <v>86</v>
      </c>
      <c r="R118" s="42"/>
      <c r="S118" s="42"/>
      <c r="T118" s="42"/>
      <c r="U118" s="42"/>
      <c r="V118" s="42"/>
      <c r="W118" s="42"/>
      <c r="X118" s="42"/>
      <c r="Y118" s="42"/>
      <c r="Z118" s="42"/>
      <c r="AA118" s="42"/>
      <c r="AB118" s="42"/>
      <c r="AC118" s="51"/>
      <c r="AD118" s="52"/>
      <c r="AE118" s="90"/>
      <c r="AF118" s="52">
        <v>1</v>
      </c>
      <c r="AG118" s="58" t="s">
        <v>85</v>
      </c>
    </row>
    <row r="119" s="1" customFormat="1" ht="45" hidden="1" spans="1:33">
      <c r="A119" s="10">
        <v>114</v>
      </c>
      <c r="B119" s="28" t="s">
        <v>5</v>
      </c>
      <c r="C119" s="30" t="s">
        <v>317</v>
      </c>
      <c r="D119" s="16" t="s">
        <v>335</v>
      </c>
      <c r="E119" s="28" t="s">
        <v>367</v>
      </c>
      <c r="F119" s="63" t="s">
        <v>368</v>
      </c>
      <c r="G119" s="64" t="s">
        <v>107</v>
      </c>
      <c r="H119" s="63" t="s">
        <v>369</v>
      </c>
      <c r="I119" s="23" t="s">
        <v>177</v>
      </c>
      <c r="J119" s="28" t="s">
        <v>109</v>
      </c>
      <c r="K119" s="24">
        <v>1</v>
      </c>
      <c r="L119" s="25">
        <v>31.75</v>
      </c>
      <c r="M119" s="63">
        <v>1</v>
      </c>
      <c r="N119" s="23" t="s">
        <v>84</v>
      </c>
      <c r="O119" s="26" t="s">
        <v>21</v>
      </c>
      <c r="P119" s="25">
        <v>5.000892</v>
      </c>
      <c r="Q119" s="26" t="s">
        <v>85</v>
      </c>
      <c r="R119" s="42"/>
      <c r="S119" s="42"/>
      <c r="T119" s="42"/>
      <c r="U119" s="42"/>
      <c r="V119" s="42"/>
      <c r="W119" s="42"/>
      <c r="X119" s="42"/>
      <c r="Y119" s="42"/>
      <c r="Z119" s="42"/>
      <c r="AA119" s="42"/>
      <c r="AB119" s="42"/>
      <c r="AC119" s="51"/>
      <c r="AD119" s="52"/>
      <c r="AE119" s="90"/>
      <c r="AF119" s="52">
        <v>1</v>
      </c>
      <c r="AG119" s="58" t="s">
        <v>85</v>
      </c>
    </row>
    <row r="120" s="1" customFormat="1" ht="45" hidden="1" spans="1:33">
      <c r="A120" s="10">
        <v>115</v>
      </c>
      <c r="B120" s="28" t="s">
        <v>5</v>
      </c>
      <c r="C120" s="30" t="s">
        <v>317</v>
      </c>
      <c r="D120" s="16" t="s">
        <v>318</v>
      </c>
      <c r="E120" s="28" t="s">
        <v>370</v>
      </c>
      <c r="F120" s="63" t="s">
        <v>371</v>
      </c>
      <c r="G120" s="64" t="s">
        <v>107</v>
      </c>
      <c r="H120" s="63" t="s">
        <v>372</v>
      </c>
      <c r="I120" s="23" t="s">
        <v>177</v>
      </c>
      <c r="J120" s="28" t="s">
        <v>109</v>
      </c>
      <c r="K120" s="24">
        <v>3</v>
      </c>
      <c r="L120" s="25">
        <v>106.85</v>
      </c>
      <c r="M120" s="63">
        <v>2</v>
      </c>
      <c r="N120" s="27" t="s">
        <v>84</v>
      </c>
      <c r="O120" s="26" t="s">
        <v>27</v>
      </c>
      <c r="P120" s="25">
        <v>17.070217</v>
      </c>
      <c r="Q120" s="26" t="s">
        <v>85</v>
      </c>
      <c r="R120" s="42"/>
      <c r="S120" s="42"/>
      <c r="T120" s="42"/>
      <c r="U120" s="42"/>
      <c r="V120" s="42"/>
      <c r="W120" s="42"/>
      <c r="X120" s="42"/>
      <c r="Y120" s="42"/>
      <c r="Z120" s="42"/>
      <c r="AA120" s="42"/>
      <c r="AB120" s="42"/>
      <c r="AC120" s="51"/>
      <c r="AD120" s="52"/>
      <c r="AE120" s="90"/>
      <c r="AF120" s="52">
        <v>1</v>
      </c>
      <c r="AG120" s="58" t="s">
        <v>85</v>
      </c>
    </row>
    <row r="121" s="1" customFormat="1" ht="45" hidden="1" spans="1:33">
      <c r="A121" s="10">
        <v>116</v>
      </c>
      <c r="B121" s="28" t="s">
        <v>5</v>
      </c>
      <c r="C121" s="30" t="s">
        <v>317</v>
      </c>
      <c r="D121" s="16" t="s">
        <v>318</v>
      </c>
      <c r="E121" s="28" t="s">
        <v>373</v>
      </c>
      <c r="F121" s="63" t="s">
        <v>374</v>
      </c>
      <c r="G121" s="64" t="s">
        <v>107</v>
      </c>
      <c r="H121" s="63" t="s">
        <v>375</v>
      </c>
      <c r="I121" s="23" t="s">
        <v>177</v>
      </c>
      <c r="J121" s="28" t="s">
        <v>109</v>
      </c>
      <c r="K121" s="24">
        <v>2</v>
      </c>
      <c r="L121" s="25">
        <v>59.67</v>
      </c>
      <c r="M121" s="63">
        <v>2</v>
      </c>
      <c r="N121" s="27" t="s">
        <v>84</v>
      </c>
      <c r="O121" s="26" t="s">
        <v>27</v>
      </c>
      <c r="P121" s="25">
        <v>9.490502</v>
      </c>
      <c r="Q121" s="26" t="s">
        <v>85</v>
      </c>
      <c r="R121" s="42"/>
      <c r="S121" s="42"/>
      <c r="T121" s="42"/>
      <c r="U121" s="42"/>
      <c r="V121" s="42"/>
      <c r="W121" s="42"/>
      <c r="X121" s="42"/>
      <c r="Y121" s="42"/>
      <c r="Z121" s="42"/>
      <c r="AA121" s="42"/>
      <c r="AB121" s="42"/>
      <c r="AC121" s="51"/>
      <c r="AD121" s="52"/>
      <c r="AE121" s="90"/>
      <c r="AF121" s="52">
        <v>1</v>
      </c>
      <c r="AG121" s="58" t="s">
        <v>85</v>
      </c>
    </row>
    <row r="122" s="1" customFormat="1" ht="45" hidden="1" spans="1:33">
      <c r="A122" s="10">
        <v>117</v>
      </c>
      <c r="B122" s="28" t="s">
        <v>5</v>
      </c>
      <c r="C122" s="30" t="s">
        <v>317</v>
      </c>
      <c r="D122" s="16" t="s">
        <v>321</v>
      </c>
      <c r="E122" s="28" t="s">
        <v>376</v>
      </c>
      <c r="F122" s="63" t="s">
        <v>377</v>
      </c>
      <c r="G122" s="64" t="s">
        <v>107</v>
      </c>
      <c r="H122" s="63" t="s">
        <v>378</v>
      </c>
      <c r="I122" s="23" t="s">
        <v>177</v>
      </c>
      <c r="J122" s="28" t="s">
        <v>109</v>
      </c>
      <c r="K122" s="24">
        <v>2</v>
      </c>
      <c r="L122" s="25">
        <v>102.47</v>
      </c>
      <c r="M122" s="63">
        <v>2</v>
      </c>
      <c r="N122" s="27" t="s">
        <v>84</v>
      </c>
      <c r="O122" s="26" t="s">
        <v>27</v>
      </c>
      <c r="P122" s="25">
        <v>30.147637</v>
      </c>
      <c r="Q122" s="26" t="s">
        <v>85</v>
      </c>
      <c r="R122" s="42"/>
      <c r="S122" s="42"/>
      <c r="T122" s="42"/>
      <c r="U122" s="42"/>
      <c r="V122" s="42"/>
      <c r="W122" s="42"/>
      <c r="X122" s="42"/>
      <c r="Y122" s="42"/>
      <c r="Z122" s="42"/>
      <c r="AA122" s="42"/>
      <c r="AB122" s="42"/>
      <c r="AC122" s="51"/>
      <c r="AD122" s="52"/>
      <c r="AE122" s="90"/>
      <c r="AF122" s="52">
        <v>1</v>
      </c>
      <c r="AG122" s="58" t="s">
        <v>85</v>
      </c>
    </row>
    <row r="123" s="1" customFormat="1" ht="45" hidden="1" spans="1:33">
      <c r="A123" s="10">
        <v>118</v>
      </c>
      <c r="B123" s="28" t="s">
        <v>5</v>
      </c>
      <c r="C123" s="30" t="s">
        <v>317</v>
      </c>
      <c r="D123" s="16" t="s">
        <v>321</v>
      </c>
      <c r="E123" s="28" t="s">
        <v>379</v>
      </c>
      <c r="F123" s="63" t="s">
        <v>380</v>
      </c>
      <c r="G123" s="64" t="s">
        <v>107</v>
      </c>
      <c r="H123" s="63" t="s">
        <v>381</v>
      </c>
      <c r="I123" s="23" t="s">
        <v>177</v>
      </c>
      <c r="J123" s="28" t="s">
        <v>109</v>
      </c>
      <c r="K123" s="24">
        <v>6</v>
      </c>
      <c r="L123" s="25">
        <v>190.63</v>
      </c>
      <c r="M123" s="63">
        <v>2</v>
      </c>
      <c r="N123" s="27" t="s">
        <v>84</v>
      </c>
      <c r="O123" s="26" t="s">
        <v>27</v>
      </c>
      <c r="P123" s="25">
        <v>57.125931</v>
      </c>
      <c r="Q123" s="26" t="s">
        <v>85</v>
      </c>
      <c r="R123" s="42"/>
      <c r="S123" s="42"/>
      <c r="T123" s="42"/>
      <c r="U123" s="42"/>
      <c r="V123" s="42"/>
      <c r="W123" s="42"/>
      <c r="X123" s="42"/>
      <c r="Y123" s="42"/>
      <c r="Z123" s="42"/>
      <c r="AA123" s="42"/>
      <c r="AB123" s="42"/>
      <c r="AC123" s="51"/>
      <c r="AD123" s="52"/>
      <c r="AE123" s="90"/>
      <c r="AF123" s="52">
        <v>1</v>
      </c>
      <c r="AG123" s="58" t="s">
        <v>85</v>
      </c>
    </row>
    <row r="124" s="1" customFormat="1" ht="45" hidden="1" spans="1:33">
      <c r="A124" s="10">
        <v>119</v>
      </c>
      <c r="B124" s="28" t="s">
        <v>5</v>
      </c>
      <c r="C124" s="30" t="s">
        <v>317</v>
      </c>
      <c r="D124" s="16" t="s">
        <v>321</v>
      </c>
      <c r="E124" s="28" t="s">
        <v>382</v>
      </c>
      <c r="F124" s="63" t="s">
        <v>383</v>
      </c>
      <c r="G124" s="64" t="s">
        <v>107</v>
      </c>
      <c r="H124" s="63" t="s">
        <v>384</v>
      </c>
      <c r="I124" s="23" t="s">
        <v>177</v>
      </c>
      <c r="J124" s="28" t="s">
        <v>109</v>
      </c>
      <c r="K124" s="24">
        <v>4</v>
      </c>
      <c r="L124" s="25">
        <v>121.96</v>
      </c>
      <c r="M124" s="63">
        <v>2</v>
      </c>
      <c r="N124" s="23" t="s">
        <v>84</v>
      </c>
      <c r="O124" s="26" t="s">
        <v>27</v>
      </c>
      <c r="P124" s="25">
        <v>36.399432</v>
      </c>
      <c r="Q124" s="26" t="s">
        <v>85</v>
      </c>
      <c r="R124" s="42"/>
      <c r="S124" s="42"/>
      <c r="T124" s="42"/>
      <c r="U124" s="42"/>
      <c r="V124" s="42"/>
      <c r="W124" s="42"/>
      <c r="X124" s="42"/>
      <c r="Y124" s="42"/>
      <c r="Z124" s="42"/>
      <c r="AA124" s="42"/>
      <c r="AB124" s="42"/>
      <c r="AC124" s="51"/>
      <c r="AD124" s="52"/>
      <c r="AE124" s="90"/>
      <c r="AF124" s="52">
        <v>1</v>
      </c>
      <c r="AG124" s="58" t="s">
        <v>85</v>
      </c>
    </row>
    <row r="125" s="1" customFormat="1" ht="45" hidden="1" spans="1:33">
      <c r="A125" s="10">
        <v>120</v>
      </c>
      <c r="B125" s="28" t="s">
        <v>5</v>
      </c>
      <c r="C125" s="30" t="s">
        <v>317</v>
      </c>
      <c r="D125" s="16" t="s">
        <v>321</v>
      </c>
      <c r="E125" s="28" t="s">
        <v>385</v>
      </c>
      <c r="F125" s="63" t="s">
        <v>386</v>
      </c>
      <c r="G125" s="64" t="s">
        <v>107</v>
      </c>
      <c r="H125" s="63" t="s">
        <v>387</v>
      </c>
      <c r="I125" s="23" t="s">
        <v>177</v>
      </c>
      <c r="J125" s="28" t="s">
        <v>179</v>
      </c>
      <c r="K125" s="24">
        <v>1</v>
      </c>
      <c r="L125" s="25">
        <v>166.87</v>
      </c>
      <c r="M125" s="63">
        <v>2</v>
      </c>
      <c r="N125" s="27" t="s">
        <v>84</v>
      </c>
      <c r="O125" s="26" t="s">
        <v>27</v>
      </c>
      <c r="P125" s="25">
        <v>26.453054</v>
      </c>
      <c r="Q125" s="26" t="s">
        <v>85</v>
      </c>
      <c r="R125" s="42"/>
      <c r="S125" s="42"/>
      <c r="T125" s="42"/>
      <c r="U125" s="42"/>
      <c r="V125" s="42"/>
      <c r="W125" s="42"/>
      <c r="X125" s="42"/>
      <c r="Y125" s="42"/>
      <c r="Z125" s="42"/>
      <c r="AA125" s="42"/>
      <c r="AB125" s="42"/>
      <c r="AC125" s="51"/>
      <c r="AD125" s="52"/>
      <c r="AE125" s="90"/>
      <c r="AF125" s="52">
        <v>1</v>
      </c>
      <c r="AG125" s="58" t="s">
        <v>85</v>
      </c>
    </row>
    <row r="126" s="1" customFormat="1" ht="45" hidden="1" spans="1:33">
      <c r="A126" s="10">
        <v>121</v>
      </c>
      <c r="B126" s="28" t="s">
        <v>5</v>
      </c>
      <c r="C126" s="30" t="s">
        <v>317</v>
      </c>
      <c r="D126" s="11" t="s">
        <v>321</v>
      </c>
      <c r="E126" s="60" t="s">
        <v>388</v>
      </c>
      <c r="F126" s="65" t="s">
        <v>389</v>
      </c>
      <c r="G126" s="66" t="s">
        <v>107</v>
      </c>
      <c r="H126" s="63" t="s">
        <v>390</v>
      </c>
      <c r="I126" s="23" t="s">
        <v>177</v>
      </c>
      <c r="J126" s="28" t="s">
        <v>109</v>
      </c>
      <c r="K126" s="24">
        <v>3</v>
      </c>
      <c r="L126" s="25">
        <v>269.61</v>
      </c>
      <c r="M126" s="87">
        <v>2</v>
      </c>
      <c r="N126" s="85" t="s">
        <v>89</v>
      </c>
      <c r="O126" s="28" t="s">
        <v>21</v>
      </c>
      <c r="P126" s="25">
        <f>(1600*L126/10000)*1</f>
        <v>43.1376</v>
      </c>
      <c r="Q126" s="26" t="s">
        <v>85</v>
      </c>
      <c r="R126" s="42"/>
      <c r="S126" s="42"/>
      <c r="T126" s="42"/>
      <c r="U126" s="42"/>
      <c r="V126" s="42"/>
      <c r="W126" s="42"/>
      <c r="X126" s="42"/>
      <c r="Y126" s="42"/>
      <c r="Z126" s="42"/>
      <c r="AA126" s="42"/>
      <c r="AB126" s="42"/>
      <c r="AC126" s="51"/>
      <c r="AD126" s="52"/>
      <c r="AE126" s="90"/>
      <c r="AF126" s="52">
        <v>1</v>
      </c>
      <c r="AG126" s="58" t="s">
        <v>85</v>
      </c>
    </row>
    <row r="127" s="1" customFormat="1" ht="33.75" hidden="1" spans="1:33">
      <c r="A127" s="10">
        <v>122</v>
      </c>
      <c r="B127" s="60" t="s">
        <v>5</v>
      </c>
      <c r="C127" s="30" t="s">
        <v>317</v>
      </c>
      <c r="D127" s="61" t="s">
        <v>391</v>
      </c>
      <c r="E127" s="62" t="s">
        <v>392</v>
      </c>
      <c r="F127" s="62" t="s">
        <v>392</v>
      </c>
      <c r="G127" s="61" t="s">
        <v>107</v>
      </c>
      <c r="H127" s="60" t="s">
        <v>320</v>
      </c>
      <c r="I127" s="84" t="s">
        <v>82</v>
      </c>
      <c r="J127" s="60" t="s">
        <v>109</v>
      </c>
      <c r="K127" s="24">
        <v>2</v>
      </c>
      <c r="L127" s="25">
        <v>96.18</v>
      </c>
      <c r="M127" s="62">
        <v>2</v>
      </c>
      <c r="N127" s="61" t="s">
        <v>89</v>
      </c>
      <c r="O127" s="86" t="s">
        <v>21</v>
      </c>
      <c r="P127" s="25">
        <v>13.539684</v>
      </c>
      <c r="Q127" s="60" t="s">
        <v>85</v>
      </c>
      <c r="R127" s="42"/>
      <c r="S127" s="42"/>
      <c r="T127" s="42"/>
      <c r="U127" s="42"/>
      <c r="V127" s="42"/>
      <c r="W127" s="42"/>
      <c r="X127" s="42"/>
      <c r="Y127" s="42"/>
      <c r="Z127" s="42"/>
      <c r="AA127" s="42"/>
      <c r="AB127" s="42"/>
      <c r="AC127" s="51"/>
      <c r="AD127" s="52"/>
      <c r="AE127" s="90"/>
      <c r="AF127" s="52">
        <v>1</v>
      </c>
      <c r="AG127" s="58" t="s">
        <v>85</v>
      </c>
    </row>
    <row r="128" s="1" customFormat="1" ht="33.75" hidden="1" spans="1:33">
      <c r="A128" s="10">
        <v>123</v>
      </c>
      <c r="B128" s="60" t="s">
        <v>5</v>
      </c>
      <c r="C128" s="30" t="s">
        <v>317</v>
      </c>
      <c r="D128" s="61" t="s">
        <v>391</v>
      </c>
      <c r="E128" s="62" t="s">
        <v>393</v>
      </c>
      <c r="F128" s="62" t="s">
        <v>393</v>
      </c>
      <c r="G128" s="61" t="s">
        <v>107</v>
      </c>
      <c r="H128" s="60" t="s">
        <v>320</v>
      </c>
      <c r="I128" s="84" t="s">
        <v>82</v>
      </c>
      <c r="J128" s="60" t="s">
        <v>109</v>
      </c>
      <c r="K128" s="24">
        <v>3</v>
      </c>
      <c r="L128" s="25">
        <v>98.05</v>
      </c>
      <c r="M128" s="62">
        <v>2</v>
      </c>
      <c r="N128" s="61" t="s">
        <v>84</v>
      </c>
      <c r="O128" s="86" t="s">
        <v>27</v>
      </c>
      <c r="P128" s="25">
        <v>27.112013</v>
      </c>
      <c r="Q128" s="60" t="s">
        <v>85</v>
      </c>
      <c r="R128" s="42"/>
      <c r="S128" s="42"/>
      <c r="T128" s="42"/>
      <c r="U128" s="42"/>
      <c r="V128" s="42"/>
      <c r="W128" s="42"/>
      <c r="X128" s="42"/>
      <c r="Y128" s="42"/>
      <c r="Z128" s="42"/>
      <c r="AA128" s="42"/>
      <c r="AB128" s="42"/>
      <c r="AC128" s="51"/>
      <c r="AD128" s="52"/>
      <c r="AE128" s="90"/>
      <c r="AF128" s="52">
        <v>1</v>
      </c>
      <c r="AG128" s="58" t="s">
        <v>85</v>
      </c>
    </row>
    <row r="129" s="1" customFormat="1" ht="33.75" hidden="1" spans="1:33">
      <c r="A129" s="10">
        <v>124</v>
      </c>
      <c r="B129" s="60" t="s">
        <v>5</v>
      </c>
      <c r="C129" s="30" t="s">
        <v>317</v>
      </c>
      <c r="D129" s="61" t="s">
        <v>335</v>
      </c>
      <c r="E129" s="62" t="s">
        <v>394</v>
      </c>
      <c r="F129" s="62" t="s">
        <v>394</v>
      </c>
      <c r="G129" s="61" t="s">
        <v>107</v>
      </c>
      <c r="H129" s="60" t="s">
        <v>320</v>
      </c>
      <c r="I129" s="84" t="s">
        <v>82</v>
      </c>
      <c r="J129" s="60" t="s">
        <v>109</v>
      </c>
      <c r="K129" s="24">
        <v>1</v>
      </c>
      <c r="L129" s="25">
        <v>16.14</v>
      </c>
      <c r="M129" s="62">
        <v>1</v>
      </c>
      <c r="N129" s="61" t="s">
        <v>89</v>
      </c>
      <c r="O129" s="86" t="s">
        <v>21</v>
      </c>
      <c r="P129" s="25">
        <v>2.23245</v>
      </c>
      <c r="Q129" s="60" t="s">
        <v>85</v>
      </c>
      <c r="R129" s="42"/>
      <c r="S129" s="42"/>
      <c r="T129" s="42"/>
      <c r="U129" s="42"/>
      <c r="V129" s="42"/>
      <c r="W129" s="42"/>
      <c r="X129" s="42"/>
      <c r="Y129" s="42"/>
      <c r="Z129" s="42"/>
      <c r="AA129" s="42"/>
      <c r="AB129" s="42"/>
      <c r="AC129" s="51"/>
      <c r="AD129" s="52"/>
      <c r="AE129" s="90"/>
      <c r="AF129" s="52">
        <v>1</v>
      </c>
      <c r="AG129" s="58" t="s">
        <v>85</v>
      </c>
    </row>
    <row r="130" s="1" customFormat="1" ht="45" hidden="1" spans="1:33">
      <c r="A130" s="10">
        <v>125</v>
      </c>
      <c r="B130" s="60" t="s">
        <v>5</v>
      </c>
      <c r="C130" s="61" t="s">
        <v>188</v>
      </c>
      <c r="D130" s="61" t="s">
        <v>314</v>
      </c>
      <c r="E130" s="62" t="s">
        <v>395</v>
      </c>
      <c r="F130" s="62" t="s">
        <v>395</v>
      </c>
      <c r="G130" s="61" t="s">
        <v>107</v>
      </c>
      <c r="H130" s="60" t="s">
        <v>396</v>
      </c>
      <c r="I130" s="84" t="s">
        <v>82</v>
      </c>
      <c r="J130" s="60" t="s">
        <v>109</v>
      </c>
      <c r="K130" s="24">
        <v>1</v>
      </c>
      <c r="L130" s="25">
        <v>18.27</v>
      </c>
      <c r="M130" s="62">
        <v>1</v>
      </c>
      <c r="N130" s="61" t="s">
        <v>89</v>
      </c>
      <c r="O130" s="86" t="s">
        <v>21</v>
      </c>
      <c r="P130" s="25">
        <v>1.781526</v>
      </c>
      <c r="Q130" s="60" t="s">
        <v>85</v>
      </c>
      <c r="R130" s="42"/>
      <c r="S130" s="42"/>
      <c r="T130" s="42"/>
      <c r="U130" s="42"/>
      <c r="V130" s="42"/>
      <c r="W130" s="42"/>
      <c r="X130" s="42"/>
      <c r="Y130" s="42"/>
      <c r="Z130" s="42"/>
      <c r="AA130" s="42"/>
      <c r="AB130" s="42"/>
      <c r="AC130" s="51"/>
      <c r="AD130" s="52"/>
      <c r="AE130" s="90"/>
      <c r="AF130" s="52">
        <v>1</v>
      </c>
      <c r="AG130" s="58" t="s">
        <v>85</v>
      </c>
    </row>
    <row r="131" s="1" customFormat="1" ht="45" hidden="1" spans="1:33">
      <c r="A131" s="10">
        <v>126</v>
      </c>
      <c r="B131" s="60" t="s">
        <v>5</v>
      </c>
      <c r="C131" s="30" t="s">
        <v>317</v>
      </c>
      <c r="D131" s="61" t="s">
        <v>335</v>
      </c>
      <c r="E131" s="62" t="s">
        <v>397</v>
      </c>
      <c r="F131" s="62" t="s">
        <v>397</v>
      </c>
      <c r="G131" s="61" t="s">
        <v>107</v>
      </c>
      <c r="H131" s="60" t="s">
        <v>398</v>
      </c>
      <c r="I131" s="84" t="s">
        <v>82</v>
      </c>
      <c r="J131" s="60" t="s">
        <v>109</v>
      </c>
      <c r="K131" s="24">
        <v>2</v>
      </c>
      <c r="L131" s="25">
        <v>70.19</v>
      </c>
      <c r="M131" s="62">
        <v>2</v>
      </c>
      <c r="N131" s="61" t="s">
        <v>89</v>
      </c>
      <c r="O131" s="86" t="s">
        <v>21</v>
      </c>
      <c r="P131" s="25">
        <v>9.83573599999998</v>
      </c>
      <c r="Q131" s="60" t="s">
        <v>85</v>
      </c>
      <c r="R131" s="42"/>
      <c r="S131" s="42"/>
      <c r="T131" s="42"/>
      <c r="U131" s="42"/>
      <c r="V131" s="42"/>
      <c r="W131" s="42"/>
      <c r="X131" s="42"/>
      <c r="Y131" s="42"/>
      <c r="Z131" s="42"/>
      <c r="AA131" s="42"/>
      <c r="AB131" s="42"/>
      <c r="AC131" s="51"/>
      <c r="AD131" s="52"/>
      <c r="AE131" s="90"/>
      <c r="AF131" s="52">
        <v>1</v>
      </c>
      <c r="AG131" s="58" t="s">
        <v>85</v>
      </c>
    </row>
    <row r="132" s="1" customFormat="1" ht="33.75" hidden="1" spans="1:33">
      <c r="A132" s="10">
        <v>127</v>
      </c>
      <c r="B132" s="60" t="s">
        <v>5</v>
      </c>
      <c r="C132" s="30" t="s">
        <v>317</v>
      </c>
      <c r="D132" s="61" t="s">
        <v>321</v>
      </c>
      <c r="E132" s="62" t="s">
        <v>399</v>
      </c>
      <c r="F132" s="62" t="s">
        <v>399</v>
      </c>
      <c r="G132" s="61" t="s">
        <v>107</v>
      </c>
      <c r="H132" s="60" t="s">
        <v>320</v>
      </c>
      <c r="I132" s="84" t="s">
        <v>82</v>
      </c>
      <c r="J132" s="60" t="s">
        <v>109</v>
      </c>
      <c r="K132" s="24">
        <v>1</v>
      </c>
      <c r="L132" s="25">
        <v>92.74</v>
      </c>
      <c r="M132" s="62">
        <v>1</v>
      </c>
      <c r="N132" s="61" t="s">
        <v>89</v>
      </c>
      <c r="O132" s="86" t="s">
        <v>21</v>
      </c>
      <c r="P132" s="25">
        <v>12.478359</v>
      </c>
      <c r="Q132" s="60" t="s">
        <v>85</v>
      </c>
      <c r="R132" s="42"/>
      <c r="S132" s="42"/>
      <c r="T132" s="42"/>
      <c r="U132" s="42"/>
      <c r="V132" s="42"/>
      <c r="W132" s="42"/>
      <c r="X132" s="42"/>
      <c r="Y132" s="42"/>
      <c r="Z132" s="42"/>
      <c r="AA132" s="42"/>
      <c r="AB132" s="42"/>
      <c r="AC132" s="51"/>
      <c r="AD132" s="52"/>
      <c r="AE132" s="90"/>
      <c r="AF132" s="52">
        <v>1</v>
      </c>
      <c r="AG132" s="58" t="s">
        <v>85</v>
      </c>
    </row>
    <row r="133" s="1" customFormat="1" ht="33.75" hidden="1" spans="1:33">
      <c r="A133" s="10">
        <v>128</v>
      </c>
      <c r="B133" s="60" t="s">
        <v>5</v>
      </c>
      <c r="C133" s="30" t="s">
        <v>317</v>
      </c>
      <c r="D133" s="61" t="s">
        <v>321</v>
      </c>
      <c r="E133" s="62" t="s">
        <v>400</v>
      </c>
      <c r="F133" s="62" t="s">
        <v>400</v>
      </c>
      <c r="G133" s="61" t="s">
        <v>107</v>
      </c>
      <c r="H133" s="60" t="s">
        <v>320</v>
      </c>
      <c r="I133" s="84" t="s">
        <v>82</v>
      </c>
      <c r="J133" s="60" t="s">
        <v>109</v>
      </c>
      <c r="K133" s="24">
        <v>6</v>
      </c>
      <c r="L133" s="25">
        <v>201.05</v>
      </c>
      <c r="M133" s="62">
        <v>1</v>
      </c>
      <c r="N133" s="61" t="s">
        <v>89</v>
      </c>
      <c r="O133" s="86" t="s">
        <v>21</v>
      </c>
      <c r="P133" s="25">
        <v>28.631882</v>
      </c>
      <c r="Q133" s="60" t="s">
        <v>85</v>
      </c>
      <c r="R133" s="42"/>
      <c r="S133" s="42"/>
      <c r="T133" s="42"/>
      <c r="U133" s="42"/>
      <c r="V133" s="42"/>
      <c r="W133" s="42"/>
      <c r="X133" s="42"/>
      <c r="Y133" s="42"/>
      <c r="Z133" s="42"/>
      <c r="AA133" s="42"/>
      <c r="AB133" s="42"/>
      <c r="AC133" s="51"/>
      <c r="AD133" s="52"/>
      <c r="AE133" s="90"/>
      <c r="AF133" s="52">
        <v>1</v>
      </c>
      <c r="AG133" s="58" t="s">
        <v>85</v>
      </c>
    </row>
    <row r="134" s="1" customFormat="1" ht="33.75" hidden="1" spans="1:33">
      <c r="A134" s="10">
        <v>129</v>
      </c>
      <c r="B134" s="60" t="s">
        <v>5</v>
      </c>
      <c r="C134" s="30" t="s">
        <v>317</v>
      </c>
      <c r="D134" s="61" t="s">
        <v>321</v>
      </c>
      <c r="E134" s="62" t="s">
        <v>401</v>
      </c>
      <c r="F134" s="62" t="s">
        <v>401</v>
      </c>
      <c r="G134" s="61" t="s">
        <v>107</v>
      </c>
      <c r="H134" s="60" t="s">
        <v>320</v>
      </c>
      <c r="I134" s="84" t="s">
        <v>82</v>
      </c>
      <c r="J134" s="60" t="s">
        <v>109</v>
      </c>
      <c r="K134" s="24">
        <v>2</v>
      </c>
      <c r="L134" s="25">
        <v>120.78</v>
      </c>
      <c r="M134" s="62">
        <v>1</v>
      </c>
      <c r="N134" s="61" t="s">
        <v>89</v>
      </c>
      <c r="O134" s="86" t="s">
        <v>21</v>
      </c>
      <c r="P134" s="25">
        <v>15.4703419999999</v>
      </c>
      <c r="Q134" s="60" t="s">
        <v>85</v>
      </c>
      <c r="R134" s="42"/>
      <c r="S134" s="42"/>
      <c r="T134" s="42"/>
      <c r="U134" s="42"/>
      <c r="V134" s="42"/>
      <c r="W134" s="42"/>
      <c r="X134" s="42"/>
      <c r="Y134" s="42"/>
      <c r="Z134" s="42"/>
      <c r="AA134" s="42"/>
      <c r="AB134" s="42"/>
      <c r="AC134" s="51"/>
      <c r="AD134" s="52"/>
      <c r="AE134" s="90"/>
      <c r="AF134" s="52">
        <v>1</v>
      </c>
      <c r="AG134" s="58" t="s">
        <v>85</v>
      </c>
    </row>
    <row r="135" s="1" customFormat="1" ht="33.75" hidden="1" spans="1:33">
      <c r="A135" s="10">
        <v>130</v>
      </c>
      <c r="B135" s="60" t="s">
        <v>5</v>
      </c>
      <c r="C135" s="30" t="s">
        <v>317</v>
      </c>
      <c r="D135" s="61" t="s">
        <v>321</v>
      </c>
      <c r="E135" s="62" t="s">
        <v>402</v>
      </c>
      <c r="F135" s="62" t="s">
        <v>402</v>
      </c>
      <c r="G135" s="61" t="s">
        <v>107</v>
      </c>
      <c r="H135" s="60" t="s">
        <v>320</v>
      </c>
      <c r="I135" s="84" t="s">
        <v>82</v>
      </c>
      <c r="J135" s="60" t="s">
        <v>109</v>
      </c>
      <c r="K135" s="24">
        <v>1</v>
      </c>
      <c r="L135" s="25">
        <v>94.25</v>
      </c>
      <c r="M135" s="62">
        <v>2</v>
      </c>
      <c r="N135" s="61" t="s">
        <v>89</v>
      </c>
      <c r="O135" s="86" t="s">
        <v>21</v>
      </c>
      <c r="P135" s="25">
        <v>13.055799</v>
      </c>
      <c r="Q135" s="60" t="s">
        <v>85</v>
      </c>
      <c r="R135" s="42"/>
      <c r="S135" s="42"/>
      <c r="T135" s="42"/>
      <c r="U135" s="42"/>
      <c r="V135" s="42"/>
      <c r="W135" s="42"/>
      <c r="X135" s="42"/>
      <c r="Y135" s="42"/>
      <c r="Z135" s="42"/>
      <c r="AA135" s="42"/>
      <c r="AB135" s="42"/>
      <c r="AC135" s="51"/>
      <c r="AD135" s="52"/>
      <c r="AE135" s="90"/>
      <c r="AF135" s="52">
        <v>1</v>
      </c>
      <c r="AG135" s="58" t="s">
        <v>85</v>
      </c>
    </row>
    <row r="136" s="1" customFormat="1" ht="45" hidden="1" spans="1:33">
      <c r="A136" s="10">
        <v>131</v>
      </c>
      <c r="B136" s="60" t="s">
        <v>5</v>
      </c>
      <c r="C136" s="30" t="s">
        <v>317</v>
      </c>
      <c r="D136" s="61" t="s">
        <v>321</v>
      </c>
      <c r="E136" s="62" t="s">
        <v>403</v>
      </c>
      <c r="F136" s="62" t="s">
        <v>403</v>
      </c>
      <c r="G136" s="61" t="s">
        <v>107</v>
      </c>
      <c r="H136" s="60" t="s">
        <v>404</v>
      </c>
      <c r="I136" s="84" t="s">
        <v>82</v>
      </c>
      <c r="J136" s="60" t="s">
        <v>109</v>
      </c>
      <c r="K136" s="24">
        <v>5</v>
      </c>
      <c r="L136" s="25">
        <v>244.39</v>
      </c>
      <c r="M136" s="62">
        <v>2</v>
      </c>
      <c r="N136" s="61" t="s">
        <v>84</v>
      </c>
      <c r="O136" s="86" t="s">
        <v>27</v>
      </c>
      <c r="P136" s="25">
        <v>67.742539</v>
      </c>
      <c r="Q136" s="60" t="s">
        <v>85</v>
      </c>
      <c r="R136" s="42"/>
      <c r="S136" s="42"/>
      <c r="T136" s="42"/>
      <c r="U136" s="42"/>
      <c r="V136" s="42"/>
      <c r="W136" s="42"/>
      <c r="X136" s="42"/>
      <c r="Y136" s="42"/>
      <c r="Z136" s="42"/>
      <c r="AA136" s="42"/>
      <c r="AB136" s="42"/>
      <c r="AC136" s="51"/>
      <c r="AD136" s="52"/>
      <c r="AE136" s="90"/>
      <c r="AF136" s="52">
        <v>1</v>
      </c>
      <c r="AG136" s="58" t="s">
        <v>85</v>
      </c>
    </row>
    <row r="137" s="1" customFormat="1" ht="33.75" hidden="1" spans="1:33">
      <c r="A137" s="10">
        <v>132</v>
      </c>
      <c r="B137" s="60" t="s">
        <v>5</v>
      </c>
      <c r="C137" s="30" t="s">
        <v>317</v>
      </c>
      <c r="D137" s="61" t="s">
        <v>321</v>
      </c>
      <c r="E137" s="62" t="s">
        <v>405</v>
      </c>
      <c r="F137" s="62" t="s">
        <v>405</v>
      </c>
      <c r="G137" s="61" t="s">
        <v>107</v>
      </c>
      <c r="H137" s="60" t="s">
        <v>320</v>
      </c>
      <c r="I137" s="84" t="s">
        <v>82</v>
      </c>
      <c r="J137" s="60" t="s">
        <v>109</v>
      </c>
      <c r="K137" s="24">
        <v>4</v>
      </c>
      <c r="L137" s="25">
        <v>79.6</v>
      </c>
      <c r="M137" s="62">
        <v>1</v>
      </c>
      <c r="N137" s="61" t="s">
        <v>84</v>
      </c>
      <c r="O137" s="86" t="s">
        <v>27</v>
      </c>
      <c r="P137" s="25">
        <v>21.929967</v>
      </c>
      <c r="Q137" s="60" t="s">
        <v>85</v>
      </c>
      <c r="R137" s="42"/>
      <c r="S137" s="42"/>
      <c r="T137" s="42"/>
      <c r="U137" s="42"/>
      <c r="V137" s="42"/>
      <c r="W137" s="42"/>
      <c r="X137" s="42"/>
      <c r="Y137" s="42"/>
      <c r="Z137" s="42"/>
      <c r="AA137" s="42"/>
      <c r="AB137" s="42"/>
      <c r="AC137" s="51"/>
      <c r="AD137" s="52"/>
      <c r="AE137" s="90"/>
      <c r="AF137" s="52">
        <v>1</v>
      </c>
      <c r="AG137" s="58" t="s">
        <v>85</v>
      </c>
    </row>
    <row r="138" s="1" customFormat="1" ht="33.75" hidden="1" spans="1:33">
      <c r="A138" s="10">
        <v>133</v>
      </c>
      <c r="B138" s="60" t="s">
        <v>5</v>
      </c>
      <c r="C138" s="30" t="s">
        <v>406</v>
      </c>
      <c r="D138" s="61" t="s">
        <v>193</v>
      </c>
      <c r="E138" s="62" t="s">
        <v>407</v>
      </c>
      <c r="F138" s="62" t="s">
        <v>407</v>
      </c>
      <c r="G138" s="61" t="s">
        <v>107</v>
      </c>
      <c r="H138" s="60" t="s">
        <v>320</v>
      </c>
      <c r="I138" s="84" t="s">
        <v>82</v>
      </c>
      <c r="J138" s="60" t="s">
        <v>109</v>
      </c>
      <c r="K138" s="24">
        <v>1</v>
      </c>
      <c r="L138" s="25">
        <v>33.56</v>
      </c>
      <c r="M138" s="62">
        <v>1</v>
      </c>
      <c r="N138" s="61" t="s">
        <v>84</v>
      </c>
      <c r="O138" s="86" t="s">
        <v>27</v>
      </c>
      <c r="P138" s="25">
        <v>9.28926300000002</v>
      </c>
      <c r="Q138" s="60" t="s">
        <v>85</v>
      </c>
      <c r="R138" s="42"/>
      <c r="S138" s="42"/>
      <c r="T138" s="42"/>
      <c r="U138" s="42"/>
      <c r="V138" s="42"/>
      <c r="W138" s="42"/>
      <c r="X138" s="42"/>
      <c r="Y138" s="42"/>
      <c r="Z138" s="42"/>
      <c r="AA138" s="42"/>
      <c r="AB138" s="42"/>
      <c r="AC138" s="51"/>
      <c r="AD138" s="52"/>
      <c r="AE138" s="90"/>
      <c r="AF138" s="52">
        <v>1</v>
      </c>
      <c r="AG138" s="58" t="s">
        <v>85</v>
      </c>
    </row>
    <row r="139" s="1" customFormat="1" ht="45" hidden="1" spans="1:33">
      <c r="A139" s="10">
        <v>134</v>
      </c>
      <c r="B139" s="60" t="s">
        <v>5</v>
      </c>
      <c r="C139" s="30" t="s">
        <v>406</v>
      </c>
      <c r="D139" s="61" t="s">
        <v>193</v>
      </c>
      <c r="E139" s="62" t="s">
        <v>408</v>
      </c>
      <c r="F139" s="62" t="s">
        <v>408</v>
      </c>
      <c r="G139" s="61" t="s">
        <v>107</v>
      </c>
      <c r="H139" s="60" t="s">
        <v>409</v>
      </c>
      <c r="I139" s="84" t="s">
        <v>82</v>
      </c>
      <c r="J139" s="60" t="s">
        <v>109</v>
      </c>
      <c r="K139" s="24">
        <v>3</v>
      </c>
      <c r="L139" s="25">
        <v>99.47</v>
      </c>
      <c r="M139" s="62">
        <v>1</v>
      </c>
      <c r="N139" s="61" t="s">
        <v>84</v>
      </c>
      <c r="O139" s="86" t="s">
        <v>21</v>
      </c>
      <c r="P139" s="25">
        <v>14.094042</v>
      </c>
      <c r="Q139" s="60" t="s">
        <v>85</v>
      </c>
      <c r="R139" s="42"/>
      <c r="S139" s="42"/>
      <c r="T139" s="42"/>
      <c r="U139" s="42"/>
      <c r="V139" s="42"/>
      <c r="W139" s="42"/>
      <c r="X139" s="42"/>
      <c r="Y139" s="42"/>
      <c r="Z139" s="42"/>
      <c r="AA139" s="42"/>
      <c r="AB139" s="42"/>
      <c r="AC139" s="51"/>
      <c r="AD139" s="52"/>
      <c r="AE139" s="90"/>
      <c r="AF139" s="52">
        <v>1</v>
      </c>
      <c r="AG139" s="58" t="s">
        <v>85</v>
      </c>
    </row>
    <row r="140" s="1" customFormat="1" ht="45" hidden="1" spans="1:33">
      <c r="A140" s="10">
        <v>135</v>
      </c>
      <c r="B140" s="60" t="s">
        <v>5</v>
      </c>
      <c r="C140" s="30" t="s">
        <v>406</v>
      </c>
      <c r="D140" s="61" t="s">
        <v>193</v>
      </c>
      <c r="E140" s="62" t="s">
        <v>410</v>
      </c>
      <c r="F140" s="62" t="s">
        <v>410</v>
      </c>
      <c r="G140" s="61" t="s">
        <v>107</v>
      </c>
      <c r="H140" s="60" t="s">
        <v>411</v>
      </c>
      <c r="I140" s="84" t="s">
        <v>82</v>
      </c>
      <c r="J140" s="60" t="s">
        <v>109</v>
      </c>
      <c r="K140" s="24">
        <v>2</v>
      </c>
      <c r="L140" s="25">
        <v>22.04</v>
      </c>
      <c r="M140" s="62">
        <v>1</v>
      </c>
      <c r="N140" s="61" t="s">
        <v>84</v>
      </c>
      <c r="O140" s="86" t="s">
        <v>27</v>
      </c>
      <c r="P140" s="25">
        <v>6.071208</v>
      </c>
      <c r="Q140" s="60" t="s">
        <v>85</v>
      </c>
      <c r="R140" s="42"/>
      <c r="S140" s="42"/>
      <c r="T140" s="42"/>
      <c r="U140" s="42"/>
      <c r="V140" s="42"/>
      <c r="W140" s="42"/>
      <c r="X140" s="42"/>
      <c r="Y140" s="42"/>
      <c r="Z140" s="42"/>
      <c r="AA140" s="42"/>
      <c r="AB140" s="42"/>
      <c r="AC140" s="51"/>
      <c r="AD140" s="52"/>
      <c r="AE140" s="90"/>
      <c r="AF140" s="52">
        <v>1</v>
      </c>
      <c r="AG140" s="58" t="s">
        <v>85</v>
      </c>
    </row>
    <row r="141" s="1" customFormat="1" ht="45" hidden="1" spans="1:33">
      <c r="A141" s="10">
        <v>136</v>
      </c>
      <c r="B141" s="60" t="s">
        <v>5</v>
      </c>
      <c r="C141" s="30" t="s">
        <v>406</v>
      </c>
      <c r="D141" s="61" t="s">
        <v>193</v>
      </c>
      <c r="E141" s="62" t="s">
        <v>412</v>
      </c>
      <c r="F141" s="62" t="s">
        <v>412</v>
      </c>
      <c r="G141" s="61" t="s">
        <v>107</v>
      </c>
      <c r="H141" s="60" t="s">
        <v>413</v>
      </c>
      <c r="I141" s="84" t="s">
        <v>82</v>
      </c>
      <c r="J141" s="60" t="s">
        <v>109</v>
      </c>
      <c r="K141" s="24">
        <v>1</v>
      </c>
      <c r="L141" s="25">
        <v>86.88</v>
      </c>
      <c r="M141" s="62">
        <v>1</v>
      </c>
      <c r="N141" s="61" t="s">
        <v>84</v>
      </c>
      <c r="O141" s="86" t="s">
        <v>27</v>
      </c>
      <c r="P141" s="25">
        <v>24.05143</v>
      </c>
      <c r="Q141" s="60" t="s">
        <v>85</v>
      </c>
      <c r="R141" s="42"/>
      <c r="S141" s="42"/>
      <c r="T141" s="42"/>
      <c r="U141" s="42"/>
      <c r="V141" s="42"/>
      <c r="W141" s="42"/>
      <c r="X141" s="42"/>
      <c r="Y141" s="42"/>
      <c r="Z141" s="42"/>
      <c r="AA141" s="42"/>
      <c r="AB141" s="42"/>
      <c r="AC141" s="51"/>
      <c r="AD141" s="52"/>
      <c r="AE141" s="90"/>
      <c r="AF141" s="52">
        <v>1</v>
      </c>
      <c r="AG141" s="58" t="s">
        <v>85</v>
      </c>
    </row>
    <row r="142" s="1" customFormat="1" ht="33.75" hidden="1" spans="1:33">
      <c r="A142" s="10">
        <v>137</v>
      </c>
      <c r="B142" s="60" t="s">
        <v>5</v>
      </c>
      <c r="C142" s="30" t="s">
        <v>406</v>
      </c>
      <c r="D142" s="61" t="s">
        <v>193</v>
      </c>
      <c r="E142" s="62" t="s">
        <v>414</v>
      </c>
      <c r="F142" s="62" t="s">
        <v>414</v>
      </c>
      <c r="G142" s="61" t="s">
        <v>107</v>
      </c>
      <c r="H142" s="60" t="s">
        <v>320</v>
      </c>
      <c r="I142" s="84" t="s">
        <v>82</v>
      </c>
      <c r="J142" s="60" t="s">
        <v>109</v>
      </c>
      <c r="K142" s="24">
        <v>2</v>
      </c>
      <c r="L142" s="25">
        <v>46.46</v>
      </c>
      <c r="M142" s="62">
        <v>1</v>
      </c>
      <c r="N142" s="61" t="s">
        <v>84</v>
      </c>
      <c r="O142" s="86" t="s">
        <v>27</v>
      </c>
      <c r="P142" s="25">
        <v>12.876945</v>
      </c>
      <c r="Q142" s="60" t="s">
        <v>85</v>
      </c>
      <c r="R142" s="42"/>
      <c r="S142" s="42"/>
      <c r="T142" s="42"/>
      <c r="U142" s="42"/>
      <c r="V142" s="42"/>
      <c r="W142" s="42"/>
      <c r="X142" s="42"/>
      <c r="Y142" s="42"/>
      <c r="Z142" s="42"/>
      <c r="AA142" s="42"/>
      <c r="AB142" s="42"/>
      <c r="AC142" s="51"/>
      <c r="AD142" s="52"/>
      <c r="AE142" s="90"/>
      <c r="AF142" s="52">
        <v>1</v>
      </c>
      <c r="AG142" s="58" t="s">
        <v>85</v>
      </c>
    </row>
    <row r="143" s="1" customFormat="1" ht="45" hidden="1" spans="1:33">
      <c r="A143" s="10">
        <v>138</v>
      </c>
      <c r="B143" s="60" t="s">
        <v>5</v>
      </c>
      <c r="C143" s="30" t="s">
        <v>406</v>
      </c>
      <c r="D143" s="61" t="s">
        <v>193</v>
      </c>
      <c r="E143" s="62" t="s">
        <v>415</v>
      </c>
      <c r="F143" s="62" t="s">
        <v>415</v>
      </c>
      <c r="G143" s="61" t="s">
        <v>107</v>
      </c>
      <c r="H143" s="60" t="s">
        <v>416</v>
      </c>
      <c r="I143" s="84" t="s">
        <v>82</v>
      </c>
      <c r="J143" s="60" t="s">
        <v>109</v>
      </c>
      <c r="K143" s="24">
        <v>4</v>
      </c>
      <c r="L143" s="25">
        <v>136.01</v>
      </c>
      <c r="M143" s="62">
        <v>1</v>
      </c>
      <c r="N143" s="61" t="s">
        <v>84</v>
      </c>
      <c r="O143" s="86" t="s">
        <v>27</v>
      </c>
      <c r="P143" s="25">
        <v>37.617479</v>
      </c>
      <c r="Q143" s="60" t="s">
        <v>85</v>
      </c>
      <c r="R143" s="42"/>
      <c r="S143" s="42"/>
      <c r="T143" s="42"/>
      <c r="U143" s="42"/>
      <c r="V143" s="42"/>
      <c r="W143" s="42"/>
      <c r="X143" s="42"/>
      <c r="Y143" s="42"/>
      <c r="Z143" s="42"/>
      <c r="AA143" s="42"/>
      <c r="AB143" s="42"/>
      <c r="AC143" s="51"/>
      <c r="AD143" s="52"/>
      <c r="AE143" s="90"/>
      <c r="AF143" s="52">
        <v>1</v>
      </c>
      <c r="AG143" s="58" t="s">
        <v>85</v>
      </c>
    </row>
    <row r="144" s="1" customFormat="1" ht="45" hidden="1" spans="1:33">
      <c r="A144" s="10">
        <v>139</v>
      </c>
      <c r="B144" s="60" t="s">
        <v>5</v>
      </c>
      <c r="C144" s="30" t="s">
        <v>406</v>
      </c>
      <c r="D144" s="61" t="s">
        <v>193</v>
      </c>
      <c r="E144" s="62" t="s">
        <v>417</v>
      </c>
      <c r="F144" s="62" t="s">
        <v>417</v>
      </c>
      <c r="G144" s="61" t="s">
        <v>107</v>
      </c>
      <c r="H144" s="60" t="s">
        <v>418</v>
      </c>
      <c r="I144" s="84" t="s">
        <v>82</v>
      </c>
      <c r="J144" s="60" t="s">
        <v>109</v>
      </c>
      <c r="K144" s="24">
        <v>5</v>
      </c>
      <c r="L144" s="25">
        <v>146.31</v>
      </c>
      <c r="M144" s="62">
        <v>1</v>
      </c>
      <c r="N144" s="61" t="s">
        <v>84</v>
      </c>
      <c r="O144" s="86" t="s">
        <v>27</v>
      </c>
      <c r="P144" s="25">
        <v>40.2569419999999</v>
      </c>
      <c r="Q144" s="60" t="s">
        <v>85</v>
      </c>
      <c r="R144" s="42"/>
      <c r="S144" s="42"/>
      <c r="T144" s="42"/>
      <c r="U144" s="42"/>
      <c r="V144" s="42"/>
      <c r="W144" s="42"/>
      <c r="X144" s="42"/>
      <c r="Y144" s="42"/>
      <c r="Z144" s="42"/>
      <c r="AA144" s="42"/>
      <c r="AB144" s="42"/>
      <c r="AC144" s="51"/>
      <c r="AD144" s="52"/>
      <c r="AE144" s="90"/>
      <c r="AF144" s="52">
        <v>1</v>
      </c>
      <c r="AG144" s="58" t="s">
        <v>85</v>
      </c>
    </row>
    <row r="145" s="1" customFormat="1" ht="45" hidden="1" spans="1:33">
      <c r="A145" s="10">
        <v>140</v>
      </c>
      <c r="B145" s="60" t="s">
        <v>5</v>
      </c>
      <c r="C145" s="30" t="s">
        <v>406</v>
      </c>
      <c r="D145" s="61" t="s">
        <v>193</v>
      </c>
      <c r="E145" s="62" t="s">
        <v>419</v>
      </c>
      <c r="F145" s="62" t="s">
        <v>419</v>
      </c>
      <c r="G145" s="61" t="s">
        <v>107</v>
      </c>
      <c r="H145" s="60" t="s">
        <v>420</v>
      </c>
      <c r="I145" s="84" t="s">
        <v>82</v>
      </c>
      <c r="J145" s="60" t="s">
        <v>109</v>
      </c>
      <c r="K145" s="24">
        <v>3</v>
      </c>
      <c r="L145" s="25">
        <v>108.08</v>
      </c>
      <c r="M145" s="62">
        <v>1</v>
      </c>
      <c r="N145" s="61" t="s">
        <v>84</v>
      </c>
      <c r="O145" s="86" t="s">
        <v>27</v>
      </c>
      <c r="P145" s="25">
        <v>128.831081</v>
      </c>
      <c r="Q145" s="60" t="s">
        <v>85</v>
      </c>
      <c r="R145" s="42"/>
      <c r="S145" s="42"/>
      <c r="T145" s="42"/>
      <c r="U145" s="42"/>
      <c r="V145" s="42"/>
      <c r="W145" s="42"/>
      <c r="X145" s="42"/>
      <c r="Y145" s="42"/>
      <c r="Z145" s="42"/>
      <c r="AA145" s="42"/>
      <c r="AB145" s="42"/>
      <c r="AC145" s="51"/>
      <c r="AD145" s="52"/>
      <c r="AE145" s="90"/>
      <c r="AF145" s="52">
        <v>1</v>
      </c>
      <c r="AG145" s="58" t="s">
        <v>85</v>
      </c>
    </row>
    <row r="146" s="1" customFormat="1" ht="33.75" hidden="1" spans="1:33">
      <c r="A146" s="10">
        <v>141</v>
      </c>
      <c r="B146" s="60" t="s">
        <v>5</v>
      </c>
      <c r="C146" s="30" t="s">
        <v>406</v>
      </c>
      <c r="D146" s="61" t="s">
        <v>193</v>
      </c>
      <c r="E146" s="62" t="s">
        <v>421</v>
      </c>
      <c r="F146" s="62" t="s">
        <v>421</v>
      </c>
      <c r="G146" s="61" t="s">
        <v>107</v>
      </c>
      <c r="H146" s="60" t="s">
        <v>422</v>
      </c>
      <c r="I146" s="84" t="s">
        <v>82</v>
      </c>
      <c r="J146" s="60" t="s">
        <v>109</v>
      </c>
      <c r="K146" s="24">
        <v>2</v>
      </c>
      <c r="L146" s="25">
        <v>88.71</v>
      </c>
      <c r="M146" s="62">
        <v>1</v>
      </c>
      <c r="N146" s="61" t="s">
        <v>84</v>
      </c>
      <c r="O146" s="86" t="s">
        <v>27</v>
      </c>
      <c r="P146" s="25">
        <v>24.545287</v>
      </c>
      <c r="Q146" s="60" t="s">
        <v>85</v>
      </c>
      <c r="R146" s="42"/>
      <c r="S146" s="42"/>
      <c r="T146" s="42"/>
      <c r="U146" s="42"/>
      <c r="V146" s="42"/>
      <c r="W146" s="42"/>
      <c r="X146" s="42"/>
      <c r="Y146" s="42"/>
      <c r="Z146" s="42"/>
      <c r="AA146" s="42"/>
      <c r="AB146" s="42"/>
      <c r="AC146" s="51"/>
      <c r="AD146" s="52"/>
      <c r="AE146" s="90"/>
      <c r="AF146" s="52">
        <v>1</v>
      </c>
      <c r="AG146" s="58" t="s">
        <v>85</v>
      </c>
    </row>
    <row r="147" s="1" customFormat="1" ht="45" hidden="1" spans="1:33">
      <c r="A147" s="10">
        <v>142</v>
      </c>
      <c r="B147" s="60" t="s">
        <v>5</v>
      </c>
      <c r="C147" s="30" t="s">
        <v>406</v>
      </c>
      <c r="D147" s="61" t="s">
        <v>423</v>
      </c>
      <c r="E147" s="62" t="s">
        <v>424</v>
      </c>
      <c r="F147" s="62" t="s">
        <v>424</v>
      </c>
      <c r="G147" s="61" t="s">
        <v>107</v>
      </c>
      <c r="H147" s="60" t="s">
        <v>425</v>
      </c>
      <c r="I147" s="84" t="s">
        <v>82</v>
      </c>
      <c r="J147" s="60" t="s">
        <v>109</v>
      </c>
      <c r="K147" s="24">
        <v>1</v>
      </c>
      <c r="L147" s="25">
        <v>27.69</v>
      </c>
      <c r="M147" s="62">
        <v>2</v>
      </c>
      <c r="N147" s="61" t="s">
        <v>89</v>
      </c>
      <c r="O147" s="86" t="s">
        <v>21</v>
      </c>
      <c r="P147" s="25">
        <v>3.58603899999999</v>
      </c>
      <c r="Q147" s="60" t="s">
        <v>85</v>
      </c>
      <c r="R147" s="42"/>
      <c r="S147" s="42"/>
      <c r="T147" s="42"/>
      <c r="U147" s="42"/>
      <c r="V147" s="42"/>
      <c r="W147" s="42"/>
      <c r="X147" s="42"/>
      <c r="Y147" s="42"/>
      <c r="Z147" s="42"/>
      <c r="AA147" s="42"/>
      <c r="AB147" s="42"/>
      <c r="AC147" s="51"/>
      <c r="AD147" s="52"/>
      <c r="AE147" s="90"/>
      <c r="AF147" s="52">
        <v>1</v>
      </c>
      <c r="AG147" s="58" t="s">
        <v>85</v>
      </c>
    </row>
    <row r="148" s="1" customFormat="1" ht="45" hidden="1" spans="1:33">
      <c r="A148" s="10">
        <v>143</v>
      </c>
      <c r="B148" s="60" t="s">
        <v>5</v>
      </c>
      <c r="C148" s="30" t="s">
        <v>406</v>
      </c>
      <c r="D148" s="61" t="s">
        <v>426</v>
      </c>
      <c r="E148" s="62" t="s">
        <v>427</v>
      </c>
      <c r="F148" s="62" t="s">
        <v>427</v>
      </c>
      <c r="G148" s="61" t="s">
        <v>107</v>
      </c>
      <c r="H148" s="60" t="s">
        <v>428</v>
      </c>
      <c r="I148" s="84" t="s">
        <v>82</v>
      </c>
      <c r="J148" s="60" t="s">
        <v>109</v>
      </c>
      <c r="K148" s="24">
        <v>2</v>
      </c>
      <c r="L148" s="25">
        <v>69.1</v>
      </c>
      <c r="M148" s="62">
        <v>1</v>
      </c>
      <c r="N148" s="61" t="s">
        <v>89</v>
      </c>
      <c r="O148" s="86" t="s">
        <v>21</v>
      </c>
      <c r="P148" s="25">
        <v>9.77231700000002</v>
      </c>
      <c r="Q148" s="60" t="s">
        <v>85</v>
      </c>
      <c r="R148" s="42"/>
      <c r="S148" s="42"/>
      <c r="T148" s="42"/>
      <c r="U148" s="42"/>
      <c r="V148" s="42"/>
      <c r="W148" s="42"/>
      <c r="X148" s="42"/>
      <c r="Y148" s="42"/>
      <c r="Z148" s="42"/>
      <c r="AA148" s="42"/>
      <c r="AB148" s="42"/>
      <c r="AC148" s="51"/>
      <c r="AD148" s="52"/>
      <c r="AE148" s="90"/>
      <c r="AF148" s="52">
        <v>1</v>
      </c>
      <c r="AG148" s="58" t="s">
        <v>85</v>
      </c>
    </row>
    <row r="149" s="1" customFormat="1" ht="45" hidden="1" spans="1:33">
      <c r="A149" s="10">
        <v>144</v>
      </c>
      <c r="B149" s="60" t="s">
        <v>5</v>
      </c>
      <c r="C149" s="30" t="s">
        <v>406</v>
      </c>
      <c r="D149" s="61" t="s">
        <v>429</v>
      </c>
      <c r="E149" s="62" t="s">
        <v>430</v>
      </c>
      <c r="F149" s="62" t="s">
        <v>430</v>
      </c>
      <c r="G149" s="61" t="s">
        <v>107</v>
      </c>
      <c r="H149" s="60" t="s">
        <v>431</v>
      </c>
      <c r="I149" s="84" t="s">
        <v>82</v>
      </c>
      <c r="J149" s="60" t="s">
        <v>109</v>
      </c>
      <c r="K149" s="24">
        <v>9</v>
      </c>
      <c r="L149" s="25">
        <v>239.01</v>
      </c>
      <c r="M149" s="62">
        <v>2</v>
      </c>
      <c r="N149" s="61" t="s">
        <v>89</v>
      </c>
      <c r="O149" s="86" t="s">
        <v>21</v>
      </c>
      <c r="P149" s="25">
        <v>33.6075840000001</v>
      </c>
      <c r="Q149" s="60" t="s">
        <v>85</v>
      </c>
      <c r="R149" s="42"/>
      <c r="S149" s="42"/>
      <c r="T149" s="42"/>
      <c r="U149" s="42"/>
      <c r="V149" s="42"/>
      <c r="W149" s="42"/>
      <c r="X149" s="42"/>
      <c r="Y149" s="42"/>
      <c r="Z149" s="42"/>
      <c r="AA149" s="42"/>
      <c r="AB149" s="42"/>
      <c r="AC149" s="51"/>
      <c r="AD149" s="52"/>
      <c r="AE149" s="90"/>
      <c r="AF149" s="52">
        <v>1</v>
      </c>
      <c r="AG149" s="58" t="s">
        <v>85</v>
      </c>
    </row>
    <row r="150" s="1" customFormat="1" ht="45" hidden="1" spans="1:33">
      <c r="A150" s="10">
        <v>145</v>
      </c>
      <c r="B150" s="60" t="s">
        <v>5</v>
      </c>
      <c r="C150" s="30" t="s">
        <v>406</v>
      </c>
      <c r="D150" s="61" t="s">
        <v>429</v>
      </c>
      <c r="E150" s="62" t="s">
        <v>432</v>
      </c>
      <c r="F150" s="62" t="s">
        <v>432</v>
      </c>
      <c r="G150" s="61" t="s">
        <v>107</v>
      </c>
      <c r="H150" s="60" t="s">
        <v>433</v>
      </c>
      <c r="I150" s="84" t="s">
        <v>82</v>
      </c>
      <c r="J150" s="60" t="s">
        <v>109</v>
      </c>
      <c r="K150" s="24">
        <v>5</v>
      </c>
      <c r="L150" s="25">
        <v>246.21</v>
      </c>
      <c r="M150" s="62">
        <v>2</v>
      </c>
      <c r="N150" s="61" t="s">
        <v>89</v>
      </c>
      <c r="O150" s="86" t="s">
        <v>21</v>
      </c>
      <c r="P150" s="25">
        <v>33.02769</v>
      </c>
      <c r="Q150" s="60" t="s">
        <v>85</v>
      </c>
      <c r="R150" s="42"/>
      <c r="S150" s="42"/>
      <c r="T150" s="42"/>
      <c r="U150" s="42"/>
      <c r="V150" s="42"/>
      <c r="W150" s="42"/>
      <c r="X150" s="42"/>
      <c r="Y150" s="42"/>
      <c r="Z150" s="42"/>
      <c r="AA150" s="42"/>
      <c r="AB150" s="42"/>
      <c r="AC150" s="51"/>
      <c r="AD150" s="52"/>
      <c r="AE150" s="90"/>
      <c r="AF150" s="52">
        <v>1</v>
      </c>
      <c r="AG150" s="58" t="s">
        <v>85</v>
      </c>
    </row>
    <row r="151" s="1" customFormat="1" ht="45" hidden="1" spans="1:33">
      <c r="A151" s="10">
        <v>146</v>
      </c>
      <c r="B151" s="60" t="s">
        <v>5</v>
      </c>
      <c r="C151" s="30" t="s">
        <v>406</v>
      </c>
      <c r="D151" s="61" t="s">
        <v>429</v>
      </c>
      <c r="E151" s="62" t="s">
        <v>434</v>
      </c>
      <c r="F151" s="62" t="s">
        <v>434</v>
      </c>
      <c r="G151" s="61" t="s">
        <v>107</v>
      </c>
      <c r="H151" s="60" t="s">
        <v>435</v>
      </c>
      <c r="I151" s="84" t="s">
        <v>82</v>
      </c>
      <c r="J151" s="60" t="s">
        <v>109</v>
      </c>
      <c r="K151" s="24">
        <v>1</v>
      </c>
      <c r="L151" s="25">
        <v>27.75</v>
      </c>
      <c r="M151" s="62">
        <v>1</v>
      </c>
      <c r="N151" s="61" t="s">
        <v>89</v>
      </c>
      <c r="O151" s="86" t="s">
        <v>21</v>
      </c>
      <c r="P151" s="25">
        <v>3.858081</v>
      </c>
      <c r="Q151" s="60" t="s">
        <v>85</v>
      </c>
      <c r="R151" s="42"/>
      <c r="S151" s="42"/>
      <c r="T151" s="42"/>
      <c r="U151" s="42"/>
      <c r="V151" s="42"/>
      <c r="W151" s="42"/>
      <c r="X151" s="42"/>
      <c r="Y151" s="42"/>
      <c r="Z151" s="42"/>
      <c r="AA151" s="42"/>
      <c r="AB151" s="42"/>
      <c r="AC151" s="51"/>
      <c r="AD151" s="52"/>
      <c r="AE151" s="90"/>
      <c r="AF151" s="52">
        <v>1</v>
      </c>
      <c r="AG151" s="58" t="s">
        <v>85</v>
      </c>
    </row>
    <row r="152" s="1" customFormat="1" ht="45" hidden="1" spans="1:33">
      <c r="A152" s="10">
        <v>147</v>
      </c>
      <c r="B152" s="60" t="s">
        <v>5</v>
      </c>
      <c r="C152" s="30" t="s">
        <v>406</v>
      </c>
      <c r="D152" s="61" t="s">
        <v>429</v>
      </c>
      <c r="E152" s="62" t="s">
        <v>436</v>
      </c>
      <c r="F152" s="62" t="s">
        <v>436</v>
      </c>
      <c r="G152" s="61" t="s">
        <v>107</v>
      </c>
      <c r="H152" s="60" t="s">
        <v>437</v>
      </c>
      <c r="I152" s="84" t="s">
        <v>82</v>
      </c>
      <c r="J152" s="60" t="s">
        <v>109</v>
      </c>
      <c r="K152" s="24">
        <v>3</v>
      </c>
      <c r="L152" s="25">
        <v>107.74</v>
      </c>
      <c r="M152" s="62">
        <v>2</v>
      </c>
      <c r="N152" s="61" t="s">
        <v>89</v>
      </c>
      <c r="O152" s="86" t="s">
        <v>21</v>
      </c>
      <c r="P152" s="25">
        <v>15.135773</v>
      </c>
      <c r="Q152" s="60" t="s">
        <v>85</v>
      </c>
      <c r="R152" s="42"/>
      <c r="S152" s="42"/>
      <c r="T152" s="42"/>
      <c r="U152" s="42"/>
      <c r="V152" s="42"/>
      <c r="W152" s="42"/>
      <c r="X152" s="42"/>
      <c r="Y152" s="42"/>
      <c r="Z152" s="42"/>
      <c r="AA152" s="42"/>
      <c r="AB152" s="42"/>
      <c r="AC152" s="51"/>
      <c r="AD152" s="52"/>
      <c r="AE152" s="90"/>
      <c r="AF152" s="52">
        <v>1</v>
      </c>
      <c r="AG152" s="58" t="s">
        <v>85</v>
      </c>
    </row>
    <row r="153" s="1" customFormat="1" ht="45" hidden="1" spans="1:33">
      <c r="A153" s="10">
        <v>148</v>
      </c>
      <c r="B153" s="60" t="s">
        <v>5</v>
      </c>
      <c r="C153" s="30" t="s">
        <v>406</v>
      </c>
      <c r="D153" s="61" t="s">
        <v>423</v>
      </c>
      <c r="E153" s="62" t="s">
        <v>438</v>
      </c>
      <c r="F153" s="62" t="s">
        <v>438</v>
      </c>
      <c r="G153" s="61" t="s">
        <v>107</v>
      </c>
      <c r="H153" s="60" t="s">
        <v>439</v>
      </c>
      <c r="I153" s="84" t="s">
        <v>82</v>
      </c>
      <c r="J153" s="60" t="s">
        <v>109</v>
      </c>
      <c r="K153" s="24">
        <v>2</v>
      </c>
      <c r="L153" s="25">
        <v>55.56</v>
      </c>
      <c r="M153" s="62">
        <v>2</v>
      </c>
      <c r="N153" s="61" t="s">
        <v>89</v>
      </c>
      <c r="O153" s="86" t="s">
        <v>21</v>
      </c>
      <c r="P153" s="25">
        <v>7.83857399999997</v>
      </c>
      <c r="Q153" s="60" t="s">
        <v>85</v>
      </c>
      <c r="R153" s="42"/>
      <c r="S153" s="42"/>
      <c r="T153" s="42"/>
      <c r="U153" s="42"/>
      <c r="V153" s="42"/>
      <c r="W153" s="42"/>
      <c r="X153" s="42"/>
      <c r="Y153" s="42"/>
      <c r="Z153" s="42"/>
      <c r="AA153" s="42"/>
      <c r="AB153" s="42"/>
      <c r="AC153" s="51"/>
      <c r="AD153" s="52"/>
      <c r="AE153" s="90"/>
      <c r="AF153" s="52">
        <v>1</v>
      </c>
      <c r="AG153" s="58" t="s">
        <v>85</v>
      </c>
    </row>
    <row r="154" s="1" customFormat="1" ht="33.75" hidden="1" spans="1:33">
      <c r="A154" s="10">
        <v>149</v>
      </c>
      <c r="B154" s="60" t="s">
        <v>5</v>
      </c>
      <c r="C154" s="30" t="s">
        <v>406</v>
      </c>
      <c r="D154" s="61" t="s">
        <v>423</v>
      </c>
      <c r="E154" s="62" t="s">
        <v>440</v>
      </c>
      <c r="F154" s="62" t="s">
        <v>440</v>
      </c>
      <c r="G154" s="61" t="s">
        <v>107</v>
      </c>
      <c r="H154" s="60" t="s">
        <v>441</v>
      </c>
      <c r="I154" s="84" t="s">
        <v>82</v>
      </c>
      <c r="J154" s="60" t="s">
        <v>109</v>
      </c>
      <c r="K154" s="24">
        <v>1</v>
      </c>
      <c r="L154" s="25">
        <v>29.12</v>
      </c>
      <c r="M154" s="62">
        <v>2</v>
      </c>
      <c r="N154" s="61" t="s">
        <v>89</v>
      </c>
      <c r="O154" s="86" t="s">
        <v>21</v>
      </c>
      <c r="P154" s="25">
        <v>3.77230700000001</v>
      </c>
      <c r="Q154" s="60" t="s">
        <v>85</v>
      </c>
      <c r="R154" s="42"/>
      <c r="S154" s="42"/>
      <c r="T154" s="42"/>
      <c r="U154" s="42"/>
      <c r="V154" s="42"/>
      <c r="W154" s="42"/>
      <c r="X154" s="42"/>
      <c r="Y154" s="42"/>
      <c r="Z154" s="42"/>
      <c r="AA154" s="42"/>
      <c r="AB154" s="42"/>
      <c r="AC154" s="51"/>
      <c r="AD154" s="52"/>
      <c r="AE154" s="90"/>
      <c r="AF154" s="52">
        <v>1</v>
      </c>
      <c r="AG154" s="58" t="s">
        <v>85</v>
      </c>
    </row>
    <row r="155" s="1" customFormat="1" ht="45" hidden="1" spans="1:33">
      <c r="A155" s="10">
        <v>150</v>
      </c>
      <c r="B155" s="60" t="s">
        <v>5</v>
      </c>
      <c r="C155" s="30" t="s">
        <v>406</v>
      </c>
      <c r="D155" s="61" t="s">
        <v>423</v>
      </c>
      <c r="E155" s="62" t="s">
        <v>442</v>
      </c>
      <c r="F155" s="62" t="s">
        <v>442</v>
      </c>
      <c r="G155" s="61" t="s">
        <v>107</v>
      </c>
      <c r="H155" s="60" t="s">
        <v>443</v>
      </c>
      <c r="I155" s="84" t="s">
        <v>82</v>
      </c>
      <c r="J155" s="60" t="s">
        <v>109</v>
      </c>
      <c r="K155" s="24">
        <v>1</v>
      </c>
      <c r="L155" s="25">
        <v>25.56</v>
      </c>
      <c r="M155" s="62">
        <v>2</v>
      </c>
      <c r="N155" s="61" t="s">
        <v>89</v>
      </c>
      <c r="O155" s="86" t="s">
        <v>21</v>
      </c>
      <c r="P155" s="25">
        <v>3.451957</v>
      </c>
      <c r="Q155" s="60" t="s">
        <v>85</v>
      </c>
      <c r="R155" s="42"/>
      <c r="S155" s="42"/>
      <c r="T155" s="42"/>
      <c r="U155" s="42"/>
      <c r="V155" s="42"/>
      <c r="W155" s="42"/>
      <c r="X155" s="42"/>
      <c r="Y155" s="42"/>
      <c r="Z155" s="42"/>
      <c r="AA155" s="42"/>
      <c r="AB155" s="42"/>
      <c r="AC155" s="51"/>
      <c r="AD155" s="52"/>
      <c r="AE155" s="90"/>
      <c r="AF155" s="52">
        <v>1</v>
      </c>
      <c r="AG155" s="58" t="s">
        <v>85</v>
      </c>
    </row>
    <row r="156" s="1" customFormat="1" ht="45" hidden="1" spans="1:33">
      <c r="A156" s="10">
        <v>151</v>
      </c>
      <c r="B156" s="60" t="s">
        <v>5</v>
      </c>
      <c r="C156" s="30" t="s">
        <v>406</v>
      </c>
      <c r="D156" s="61" t="s">
        <v>423</v>
      </c>
      <c r="E156" s="62" t="s">
        <v>444</v>
      </c>
      <c r="F156" s="62" t="s">
        <v>444</v>
      </c>
      <c r="G156" s="61" t="s">
        <v>107</v>
      </c>
      <c r="H156" s="60" t="s">
        <v>445</v>
      </c>
      <c r="I156" s="84" t="s">
        <v>82</v>
      </c>
      <c r="J156" s="60" t="s">
        <v>109</v>
      </c>
      <c r="K156" s="24">
        <v>2</v>
      </c>
      <c r="L156" s="25">
        <v>30.24</v>
      </c>
      <c r="M156" s="62">
        <v>2</v>
      </c>
      <c r="N156" s="61" t="s">
        <v>89</v>
      </c>
      <c r="O156" s="86" t="s">
        <v>21</v>
      </c>
      <c r="P156" s="25">
        <v>3.864907</v>
      </c>
      <c r="Q156" s="60" t="s">
        <v>85</v>
      </c>
      <c r="R156" s="42"/>
      <c r="S156" s="42"/>
      <c r="T156" s="42"/>
      <c r="U156" s="42"/>
      <c r="V156" s="42"/>
      <c r="W156" s="42"/>
      <c r="X156" s="42"/>
      <c r="Y156" s="42"/>
      <c r="Z156" s="42"/>
      <c r="AA156" s="42"/>
      <c r="AB156" s="42"/>
      <c r="AC156" s="51"/>
      <c r="AD156" s="52"/>
      <c r="AE156" s="90"/>
      <c r="AF156" s="52">
        <v>1</v>
      </c>
      <c r="AG156" s="58" t="s">
        <v>85</v>
      </c>
    </row>
    <row r="157" s="1" customFormat="1" ht="33.75" hidden="1" spans="1:33">
      <c r="A157" s="10">
        <v>152</v>
      </c>
      <c r="B157" s="60" t="s">
        <v>5</v>
      </c>
      <c r="C157" s="30" t="s">
        <v>406</v>
      </c>
      <c r="D157" s="61" t="s">
        <v>423</v>
      </c>
      <c r="E157" s="62" t="s">
        <v>446</v>
      </c>
      <c r="F157" s="62" t="s">
        <v>446</v>
      </c>
      <c r="G157" s="61" t="s">
        <v>107</v>
      </c>
      <c r="H157" s="60" t="s">
        <v>447</v>
      </c>
      <c r="I157" s="84" t="s">
        <v>82</v>
      </c>
      <c r="J157" s="60" t="s">
        <v>109</v>
      </c>
      <c r="K157" s="24">
        <v>1</v>
      </c>
      <c r="L157" s="25">
        <v>70.9</v>
      </c>
      <c r="M157" s="62">
        <v>2</v>
      </c>
      <c r="N157" s="61" t="s">
        <v>89</v>
      </c>
      <c r="O157" s="86" t="s">
        <v>21</v>
      </c>
      <c r="P157" s="25">
        <v>10.122437</v>
      </c>
      <c r="Q157" s="60" t="s">
        <v>85</v>
      </c>
      <c r="R157" s="42"/>
      <c r="S157" s="42"/>
      <c r="T157" s="42"/>
      <c r="U157" s="42"/>
      <c r="V157" s="42"/>
      <c r="W157" s="42"/>
      <c r="X157" s="42"/>
      <c r="Y157" s="42"/>
      <c r="Z157" s="42"/>
      <c r="AA157" s="42"/>
      <c r="AB157" s="42"/>
      <c r="AC157" s="51"/>
      <c r="AD157" s="52"/>
      <c r="AE157" s="90"/>
      <c r="AF157" s="52">
        <v>1</v>
      </c>
      <c r="AG157" s="58" t="s">
        <v>85</v>
      </c>
    </row>
    <row r="158" s="1" customFormat="1" ht="45" hidden="1" spans="1:33">
      <c r="A158" s="10">
        <v>153</v>
      </c>
      <c r="B158" s="60" t="s">
        <v>5</v>
      </c>
      <c r="C158" s="30" t="s">
        <v>406</v>
      </c>
      <c r="D158" s="61" t="s">
        <v>193</v>
      </c>
      <c r="E158" s="62" t="s">
        <v>448</v>
      </c>
      <c r="F158" s="62" t="s">
        <v>448</v>
      </c>
      <c r="G158" s="61" t="s">
        <v>107</v>
      </c>
      <c r="H158" s="60" t="s">
        <v>449</v>
      </c>
      <c r="I158" s="84" t="s">
        <v>82</v>
      </c>
      <c r="J158" s="60" t="s">
        <v>109</v>
      </c>
      <c r="K158" s="24">
        <v>1</v>
      </c>
      <c r="L158" s="25">
        <v>12.85</v>
      </c>
      <c r="M158" s="62">
        <v>1</v>
      </c>
      <c r="N158" s="61" t="s">
        <v>89</v>
      </c>
      <c r="O158" s="86" t="s">
        <v>21</v>
      </c>
      <c r="P158" s="25">
        <v>1.775049</v>
      </c>
      <c r="Q158" s="60" t="s">
        <v>85</v>
      </c>
      <c r="R158" s="42"/>
      <c r="S158" s="42"/>
      <c r="T158" s="42"/>
      <c r="U158" s="42"/>
      <c r="V158" s="42"/>
      <c r="W158" s="42"/>
      <c r="X158" s="42"/>
      <c r="Y158" s="42"/>
      <c r="Z158" s="42"/>
      <c r="AA158" s="42"/>
      <c r="AB158" s="42"/>
      <c r="AC158" s="51"/>
      <c r="AD158" s="52"/>
      <c r="AE158" s="90"/>
      <c r="AF158" s="52">
        <v>1</v>
      </c>
      <c r="AG158" s="58" t="s">
        <v>85</v>
      </c>
    </row>
    <row r="159" s="1" customFormat="1" ht="45" hidden="1" spans="1:33">
      <c r="A159" s="10">
        <v>154</v>
      </c>
      <c r="B159" s="60" t="s">
        <v>5</v>
      </c>
      <c r="C159" s="61" t="s">
        <v>276</v>
      </c>
      <c r="D159" s="61" t="s">
        <v>285</v>
      </c>
      <c r="E159" s="62" t="s">
        <v>450</v>
      </c>
      <c r="F159" s="62" t="s">
        <v>450</v>
      </c>
      <c r="G159" s="61" t="s">
        <v>107</v>
      </c>
      <c r="H159" s="60" t="s">
        <v>451</v>
      </c>
      <c r="I159" s="84" t="s">
        <v>82</v>
      </c>
      <c r="J159" s="60" t="s">
        <v>109</v>
      </c>
      <c r="K159" s="24">
        <v>2</v>
      </c>
      <c r="L159" s="25">
        <v>72.76</v>
      </c>
      <c r="M159" s="62">
        <v>1</v>
      </c>
      <c r="N159" s="61" t="s">
        <v>89</v>
      </c>
      <c r="O159" s="86" t="s">
        <v>21</v>
      </c>
      <c r="P159" s="25">
        <v>9.60481499999999</v>
      </c>
      <c r="Q159" s="60" t="s">
        <v>85</v>
      </c>
      <c r="R159" s="42"/>
      <c r="S159" s="42"/>
      <c r="T159" s="42"/>
      <c r="U159" s="42"/>
      <c r="V159" s="42"/>
      <c r="W159" s="42"/>
      <c r="X159" s="42"/>
      <c r="Y159" s="42"/>
      <c r="Z159" s="42"/>
      <c r="AA159" s="42"/>
      <c r="AB159" s="42"/>
      <c r="AC159" s="51"/>
      <c r="AD159" s="52"/>
      <c r="AE159" s="90"/>
      <c r="AF159" s="52">
        <v>1</v>
      </c>
      <c r="AG159" s="58" t="s">
        <v>85</v>
      </c>
    </row>
    <row r="160" s="1" customFormat="1" ht="45" hidden="1" spans="1:33">
      <c r="A160" s="10">
        <v>155</v>
      </c>
      <c r="B160" s="60" t="s">
        <v>5</v>
      </c>
      <c r="C160" s="30" t="s">
        <v>406</v>
      </c>
      <c r="D160" s="61" t="s">
        <v>193</v>
      </c>
      <c r="E160" s="61" t="s">
        <v>452</v>
      </c>
      <c r="F160" s="61" t="s">
        <v>452</v>
      </c>
      <c r="G160" s="61" t="s">
        <v>107</v>
      </c>
      <c r="H160" s="60" t="s">
        <v>453</v>
      </c>
      <c r="I160" s="84" t="s">
        <v>82</v>
      </c>
      <c r="J160" s="60" t="s">
        <v>109</v>
      </c>
      <c r="K160" s="24">
        <v>1</v>
      </c>
      <c r="L160" s="25">
        <v>29.91</v>
      </c>
      <c r="M160" s="62">
        <v>1</v>
      </c>
      <c r="N160" s="60" t="s">
        <v>89</v>
      </c>
      <c r="O160" s="86" t="s">
        <v>21</v>
      </c>
      <c r="P160" s="25">
        <v>3.91785300000001</v>
      </c>
      <c r="Q160" s="60" t="s">
        <v>85</v>
      </c>
      <c r="R160" s="42"/>
      <c r="S160" s="42"/>
      <c r="T160" s="42"/>
      <c r="U160" s="42"/>
      <c r="V160" s="42"/>
      <c r="W160" s="42"/>
      <c r="X160" s="42"/>
      <c r="Y160" s="42"/>
      <c r="Z160" s="42"/>
      <c r="AA160" s="42"/>
      <c r="AB160" s="42"/>
      <c r="AC160" s="51"/>
      <c r="AD160" s="52"/>
      <c r="AE160" s="90"/>
      <c r="AF160" s="52">
        <v>1</v>
      </c>
      <c r="AG160" s="58" t="s">
        <v>85</v>
      </c>
    </row>
    <row r="161" s="1" customFormat="1" ht="45" hidden="1" spans="1:33">
      <c r="A161" s="10">
        <v>156</v>
      </c>
      <c r="B161" s="60" t="s">
        <v>5</v>
      </c>
      <c r="C161" s="30" t="s">
        <v>406</v>
      </c>
      <c r="D161" s="61" t="s">
        <v>193</v>
      </c>
      <c r="E161" s="61" t="s">
        <v>454</v>
      </c>
      <c r="F161" s="61" t="s">
        <v>454</v>
      </c>
      <c r="G161" s="61" t="s">
        <v>107</v>
      </c>
      <c r="H161" s="60" t="s">
        <v>455</v>
      </c>
      <c r="I161" s="84" t="s">
        <v>82</v>
      </c>
      <c r="J161" s="60" t="s">
        <v>109</v>
      </c>
      <c r="K161" s="24">
        <v>1</v>
      </c>
      <c r="L161" s="25">
        <v>8.41</v>
      </c>
      <c r="M161" s="62">
        <v>1</v>
      </c>
      <c r="N161" s="60" t="s">
        <v>89</v>
      </c>
      <c r="O161" s="86" t="s">
        <v>21</v>
      </c>
      <c r="P161" s="25">
        <v>1.157937</v>
      </c>
      <c r="Q161" s="60" t="s">
        <v>85</v>
      </c>
      <c r="R161" s="42"/>
      <c r="S161" s="42"/>
      <c r="T161" s="42"/>
      <c r="U161" s="42"/>
      <c r="V161" s="42"/>
      <c r="W161" s="42"/>
      <c r="X161" s="42"/>
      <c r="Y161" s="42"/>
      <c r="Z161" s="42"/>
      <c r="AA161" s="42"/>
      <c r="AB161" s="42"/>
      <c r="AC161" s="51"/>
      <c r="AD161" s="52"/>
      <c r="AE161" s="90"/>
      <c r="AF161" s="52">
        <v>1</v>
      </c>
      <c r="AG161" s="58" t="s">
        <v>85</v>
      </c>
    </row>
    <row r="162" s="1" customFormat="1" ht="33.75" hidden="1" spans="1:33">
      <c r="A162" s="10">
        <v>157</v>
      </c>
      <c r="B162" s="60" t="s">
        <v>5</v>
      </c>
      <c r="C162" s="30" t="s">
        <v>406</v>
      </c>
      <c r="D162" s="61" t="s">
        <v>193</v>
      </c>
      <c r="E162" s="61" t="s">
        <v>456</v>
      </c>
      <c r="F162" s="61" t="s">
        <v>456</v>
      </c>
      <c r="G162" s="61" t="s">
        <v>107</v>
      </c>
      <c r="H162" s="60" t="s">
        <v>457</v>
      </c>
      <c r="I162" s="84" t="s">
        <v>82</v>
      </c>
      <c r="J162" s="60" t="s">
        <v>109</v>
      </c>
      <c r="K162" s="24">
        <v>1</v>
      </c>
      <c r="L162" s="25">
        <v>35.76</v>
      </c>
      <c r="M162" s="62">
        <v>1</v>
      </c>
      <c r="N162" s="60" t="s">
        <v>89</v>
      </c>
      <c r="O162" s="86" t="s">
        <v>21</v>
      </c>
      <c r="P162" s="25">
        <v>5.01020299999999</v>
      </c>
      <c r="Q162" s="60" t="s">
        <v>85</v>
      </c>
      <c r="R162" s="42"/>
      <c r="S162" s="42"/>
      <c r="T162" s="42"/>
      <c r="U162" s="42"/>
      <c r="V162" s="42"/>
      <c r="W162" s="42"/>
      <c r="X162" s="42"/>
      <c r="Y162" s="42"/>
      <c r="Z162" s="42"/>
      <c r="AA162" s="42"/>
      <c r="AB162" s="42"/>
      <c r="AC162" s="51"/>
      <c r="AD162" s="52"/>
      <c r="AE162" s="90"/>
      <c r="AF162" s="52">
        <v>1</v>
      </c>
      <c r="AG162" s="58" t="s">
        <v>85</v>
      </c>
    </row>
    <row r="163" s="1" customFormat="1" ht="33.75" hidden="1" spans="1:33">
      <c r="A163" s="10">
        <v>158</v>
      </c>
      <c r="B163" s="60" t="s">
        <v>5</v>
      </c>
      <c r="C163" s="30" t="s">
        <v>406</v>
      </c>
      <c r="D163" s="61" t="s">
        <v>193</v>
      </c>
      <c r="E163" s="61" t="s">
        <v>458</v>
      </c>
      <c r="F163" s="61" t="s">
        <v>458</v>
      </c>
      <c r="G163" s="61" t="s">
        <v>107</v>
      </c>
      <c r="H163" s="60" t="s">
        <v>457</v>
      </c>
      <c r="I163" s="84" t="s">
        <v>82</v>
      </c>
      <c r="J163" s="60" t="s">
        <v>109</v>
      </c>
      <c r="K163" s="24">
        <v>1</v>
      </c>
      <c r="L163" s="25">
        <v>22.34</v>
      </c>
      <c r="M163" s="62">
        <v>1</v>
      </c>
      <c r="N163" s="60" t="s">
        <v>84</v>
      </c>
      <c r="O163" s="86" t="s">
        <v>21</v>
      </c>
      <c r="P163" s="25">
        <v>3.02604699999999</v>
      </c>
      <c r="Q163" s="60" t="s">
        <v>85</v>
      </c>
      <c r="R163" s="42"/>
      <c r="S163" s="42"/>
      <c r="T163" s="42"/>
      <c r="U163" s="42"/>
      <c r="V163" s="42"/>
      <c r="W163" s="42"/>
      <c r="X163" s="42"/>
      <c r="Y163" s="42"/>
      <c r="Z163" s="42"/>
      <c r="AA163" s="42"/>
      <c r="AB163" s="42"/>
      <c r="AC163" s="51"/>
      <c r="AD163" s="52"/>
      <c r="AE163" s="90"/>
      <c r="AF163" s="52">
        <v>1</v>
      </c>
      <c r="AG163" s="58" t="s">
        <v>85</v>
      </c>
    </row>
    <row r="164" s="1" customFormat="1" ht="45" hidden="1" spans="1:33">
      <c r="A164" s="10">
        <v>159</v>
      </c>
      <c r="B164" s="60" t="s">
        <v>5</v>
      </c>
      <c r="C164" s="30" t="s">
        <v>317</v>
      </c>
      <c r="D164" s="61" t="s">
        <v>335</v>
      </c>
      <c r="E164" s="61" t="s">
        <v>459</v>
      </c>
      <c r="F164" s="61" t="s">
        <v>459</v>
      </c>
      <c r="G164" s="61" t="s">
        <v>107</v>
      </c>
      <c r="H164" s="60" t="s">
        <v>460</v>
      </c>
      <c r="I164" s="84" t="s">
        <v>82</v>
      </c>
      <c r="J164" s="60" t="s">
        <v>109</v>
      </c>
      <c r="K164" s="24">
        <v>4</v>
      </c>
      <c r="L164" s="25">
        <v>110.6</v>
      </c>
      <c r="M164" s="62">
        <v>2</v>
      </c>
      <c r="N164" s="60" t="s">
        <v>84</v>
      </c>
      <c r="O164" s="86" t="s">
        <v>27</v>
      </c>
      <c r="P164" s="25">
        <v>33.18</v>
      </c>
      <c r="Q164" s="60" t="s">
        <v>85</v>
      </c>
      <c r="R164" s="42"/>
      <c r="S164" s="42"/>
      <c r="T164" s="42"/>
      <c r="U164" s="42"/>
      <c r="V164" s="42"/>
      <c r="W164" s="42"/>
      <c r="X164" s="42"/>
      <c r="Y164" s="42"/>
      <c r="Z164" s="42"/>
      <c r="AA164" s="42"/>
      <c r="AB164" s="42"/>
      <c r="AC164" s="51"/>
      <c r="AD164" s="52"/>
      <c r="AE164" s="90"/>
      <c r="AF164" s="52">
        <v>1</v>
      </c>
      <c r="AG164" s="58" t="s">
        <v>85</v>
      </c>
    </row>
    <row r="165" s="1" customFormat="1" ht="45" hidden="1" spans="1:33">
      <c r="A165" s="10">
        <v>160</v>
      </c>
      <c r="B165" s="60" t="s">
        <v>5</v>
      </c>
      <c r="C165" s="30" t="s">
        <v>317</v>
      </c>
      <c r="D165" s="61" t="s">
        <v>335</v>
      </c>
      <c r="E165" s="61" t="s">
        <v>461</v>
      </c>
      <c r="F165" s="61" t="s">
        <v>461</v>
      </c>
      <c r="G165" s="61" t="s">
        <v>107</v>
      </c>
      <c r="H165" s="60" t="s">
        <v>460</v>
      </c>
      <c r="I165" s="84" t="s">
        <v>82</v>
      </c>
      <c r="J165" s="60" t="s">
        <v>109</v>
      </c>
      <c r="K165" s="24">
        <v>6</v>
      </c>
      <c r="L165" s="25">
        <v>113.36</v>
      </c>
      <c r="M165" s="62">
        <v>2</v>
      </c>
      <c r="N165" s="60" t="s">
        <v>84</v>
      </c>
      <c r="O165" s="86" t="s">
        <v>27</v>
      </c>
      <c r="P165" s="25">
        <v>34.008</v>
      </c>
      <c r="Q165" s="60" t="s">
        <v>85</v>
      </c>
      <c r="R165" s="42"/>
      <c r="S165" s="42"/>
      <c r="T165" s="42"/>
      <c r="U165" s="42"/>
      <c r="V165" s="42"/>
      <c r="W165" s="42"/>
      <c r="X165" s="42"/>
      <c r="Y165" s="42"/>
      <c r="Z165" s="42"/>
      <c r="AA165" s="42"/>
      <c r="AB165" s="42"/>
      <c r="AC165" s="51"/>
      <c r="AD165" s="52"/>
      <c r="AE165" s="90"/>
      <c r="AF165" s="52">
        <v>1</v>
      </c>
      <c r="AG165" s="58" t="s">
        <v>85</v>
      </c>
    </row>
    <row r="166" s="1" customFormat="1" ht="45" hidden="1" spans="1:33">
      <c r="A166" s="10">
        <v>161</v>
      </c>
      <c r="B166" s="60" t="s">
        <v>5</v>
      </c>
      <c r="C166" s="30" t="s">
        <v>317</v>
      </c>
      <c r="D166" s="61" t="s">
        <v>321</v>
      </c>
      <c r="E166" s="61" t="s">
        <v>462</v>
      </c>
      <c r="F166" s="61" t="s">
        <v>462</v>
      </c>
      <c r="G166" s="61" t="s">
        <v>107</v>
      </c>
      <c r="H166" s="60" t="s">
        <v>463</v>
      </c>
      <c r="I166" s="84" t="s">
        <v>82</v>
      </c>
      <c r="J166" s="60" t="s">
        <v>109</v>
      </c>
      <c r="K166" s="24">
        <v>6</v>
      </c>
      <c r="L166" s="25">
        <v>455.73</v>
      </c>
      <c r="M166" s="62">
        <v>3</v>
      </c>
      <c r="N166" s="60" t="s">
        <v>89</v>
      </c>
      <c r="O166" s="86" t="s">
        <v>21</v>
      </c>
      <c r="P166" s="25">
        <v>55.0632450000002</v>
      </c>
      <c r="Q166" s="60" t="s">
        <v>85</v>
      </c>
      <c r="R166" s="42"/>
      <c r="S166" s="42"/>
      <c r="T166" s="42"/>
      <c r="U166" s="42"/>
      <c r="V166" s="42"/>
      <c r="W166" s="42"/>
      <c r="X166" s="42"/>
      <c r="Y166" s="42"/>
      <c r="Z166" s="42"/>
      <c r="AA166" s="42"/>
      <c r="AB166" s="42"/>
      <c r="AC166" s="51"/>
      <c r="AD166" s="52"/>
      <c r="AE166" s="90"/>
      <c r="AF166" s="52">
        <v>1</v>
      </c>
      <c r="AG166" s="58" t="s">
        <v>85</v>
      </c>
    </row>
    <row r="167" s="1" customFormat="1" ht="33.75" hidden="1" spans="1:33">
      <c r="A167" s="10">
        <v>162</v>
      </c>
      <c r="B167" s="60" t="s">
        <v>5</v>
      </c>
      <c r="C167" s="30" t="s">
        <v>317</v>
      </c>
      <c r="D167" s="61" t="s">
        <v>321</v>
      </c>
      <c r="E167" s="61" t="s">
        <v>464</v>
      </c>
      <c r="F167" s="61" t="s">
        <v>464</v>
      </c>
      <c r="G167" s="61" t="s">
        <v>107</v>
      </c>
      <c r="H167" s="60" t="s">
        <v>457</v>
      </c>
      <c r="I167" s="84" t="s">
        <v>82</v>
      </c>
      <c r="J167" s="60" t="s">
        <v>109</v>
      </c>
      <c r="K167" s="24">
        <v>2</v>
      </c>
      <c r="L167" s="25">
        <v>117.17</v>
      </c>
      <c r="M167" s="62">
        <v>0</v>
      </c>
      <c r="N167" s="60" t="s">
        <v>89</v>
      </c>
      <c r="O167" s="86" t="s">
        <v>21</v>
      </c>
      <c r="P167" s="25">
        <v>11.732202</v>
      </c>
      <c r="Q167" s="60" t="s">
        <v>85</v>
      </c>
      <c r="R167" s="42"/>
      <c r="S167" s="42"/>
      <c r="T167" s="42"/>
      <c r="U167" s="42"/>
      <c r="V167" s="42"/>
      <c r="W167" s="42"/>
      <c r="X167" s="42"/>
      <c r="Y167" s="42"/>
      <c r="Z167" s="42"/>
      <c r="AA167" s="42"/>
      <c r="AB167" s="42"/>
      <c r="AC167" s="51"/>
      <c r="AD167" s="52"/>
      <c r="AE167" s="90"/>
      <c r="AF167" s="52">
        <v>1</v>
      </c>
      <c r="AG167" s="58" t="s">
        <v>85</v>
      </c>
    </row>
    <row r="168" s="1" customFormat="1" ht="45" hidden="1" spans="1:33">
      <c r="A168" s="10">
        <v>163</v>
      </c>
      <c r="B168" s="60" t="s">
        <v>5</v>
      </c>
      <c r="C168" s="30" t="s">
        <v>317</v>
      </c>
      <c r="D168" s="61" t="s">
        <v>321</v>
      </c>
      <c r="E168" s="61" t="s">
        <v>465</v>
      </c>
      <c r="F168" s="61" t="s">
        <v>465</v>
      </c>
      <c r="G168" s="61" t="s">
        <v>107</v>
      </c>
      <c r="H168" s="28" t="s">
        <v>466</v>
      </c>
      <c r="I168" s="84" t="s">
        <v>82</v>
      </c>
      <c r="J168" s="60" t="s">
        <v>109</v>
      </c>
      <c r="K168" s="24">
        <v>3</v>
      </c>
      <c r="L168" s="25">
        <v>121.08</v>
      </c>
      <c r="M168" s="62">
        <v>4</v>
      </c>
      <c r="N168" s="60" t="s">
        <v>84</v>
      </c>
      <c r="O168" s="86" t="s">
        <v>27</v>
      </c>
      <c r="P168" s="25">
        <v>36.324</v>
      </c>
      <c r="Q168" s="60" t="s">
        <v>85</v>
      </c>
      <c r="R168" s="42"/>
      <c r="S168" s="42"/>
      <c r="T168" s="42"/>
      <c r="U168" s="42"/>
      <c r="V168" s="42"/>
      <c r="W168" s="42"/>
      <c r="X168" s="42"/>
      <c r="Y168" s="42"/>
      <c r="Z168" s="42"/>
      <c r="AA168" s="42"/>
      <c r="AB168" s="42"/>
      <c r="AC168" s="51"/>
      <c r="AD168" s="52"/>
      <c r="AE168" s="94"/>
      <c r="AF168" s="52">
        <v>1</v>
      </c>
      <c r="AG168" s="58" t="s">
        <v>85</v>
      </c>
    </row>
    <row r="169" s="1" customFormat="1" ht="45" hidden="1" spans="1:33">
      <c r="A169" s="10">
        <v>164</v>
      </c>
      <c r="B169" s="26" t="s">
        <v>5</v>
      </c>
      <c r="C169" s="91" t="s">
        <v>205</v>
      </c>
      <c r="D169" s="91" t="s">
        <v>321</v>
      </c>
      <c r="E169" s="92" t="s">
        <v>467</v>
      </c>
      <c r="F169" s="92" t="s">
        <v>467</v>
      </c>
      <c r="G169" s="17" t="s">
        <v>107</v>
      </c>
      <c r="H169" s="16" t="s">
        <v>468</v>
      </c>
      <c r="I169" s="23" t="s">
        <v>82</v>
      </c>
      <c r="J169" s="26" t="s">
        <v>109</v>
      </c>
      <c r="K169" s="92">
        <v>18</v>
      </c>
      <c r="L169" s="92">
        <v>826.84</v>
      </c>
      <c r="M169" s="92">
        <v>5</v>
      </c>
      <c r="N169" s="23" t="s">
        <v>84</v>
      </c>
      <c r="O169" s="18" t="s">
        <v>21</v>
      </c>
      <c r="P169" s="68">
        <v>132.2944</v>
      </c>
      <c r="Q169" s="93" t="s">
        <v>85</v>
      </c>
      <c r="R169" s="42"/>
      <c r="S169" s="42"/>
      <c r="T169" s="42"/>
      <c r="U169" s="42"/>
      <c r="V169" s="42"/>
      <c r="W169" s="42"/>
      <c r="X169" s="42"/>
      <c r="Y169" s="42"/>
      <c r="Z169" s="42"/>
      <c r="AA169" s="42"/>
      <c r="AB169" s="42"/>
      <c r="AC169" s="51"/>
      <c r="AD169" s="52"/>
      <c r="AE169" s="16" t="s">
        <v>104</v>
      </c>
      <c r="AF169" s="52">
        <v>1</v>
      </c>
      <c r="AG169" s="58" t="s">
        <v>85</v>
      </c>
    </row>
    <row r="170" s="1" customFormat="1" ht="45" hidden="1" spans="1:33">
      <c r="A170" s="10">
        <v>165</v>
      </c>
      <c r="B170" s="26" t="s">
        <v>5</v>
      </c>
      <c r="C170" s="91" t="s">
        <v>205</v>
      </c>
      <c r="D170" s="91" t="s">
        <v>321</v>
      </c>
      <c r="E170" s="92" t="s">
        <v>469</v>
      </c>
      <c r="F170" s="92" t="s">
        <v>469</v>
      </c>
      <c r="G170" s="17" t="s">
        <v>107</v>
      </c>
      <c r="H170" s="16" t="s">
        <v>470</v>
      </c>
      <c r="I170" s="23" t="s">
        <v>82</v>
      </c>
      <c r="J170" s="26" t="s">
        <v>109</v>
      </c>
      <c r="K170" s="92">
        <v>10</v>
      </c>
      <c r="L170" s="92">
        <v>417.15</v>
      </c>
      <c r="M170" s="92">
        <v>4</v>
      </c>
      <c r="N170" s="23" t="s">
        <v>84</v>
      </c>
      <c r="O170" s="18" t="s">
        <v>21</v>
      </c>
      <c r="P170" s="68">
        <v>66.744</v>
      </c>
      <c r="Q170" s="93" t="s">
        <v>85</v>
      </c>
      <c r="R170" s="42"/>
      <c r="S170" s="42"/>
      <c r="T170" s="42"/>
      <c r="U170" s="42"/>
      <c r="V170" s="42"/>
      <c r="W170" s="42"/>
      <c r="X170" s="42"/>
      <c r="Y170" s="42"/>
      <c r="Z170" s="42"/>
      <c r="AA170" s="42"/>
      <c r="AB170" s="42"/>
      <c r="AC170" s="51"/>
      <c r="AD170" s="52"/>
      <c r="AE170" s="16" t="s">
        <v>104</v>
      </c>
      <c r="AF170" s="52">
        <v>1</v>
      </c>
      <c r="AG170" s="58" t="s">
        <v>85</v>
      </c>
    </row>
    <row r="171" s="1" customFormat="1" ht="45" hidden="1" spans="1:33">
      <c r="A171" s="10">
        <v>166</v>
      </c>
      <c r="B171" s="26" t="s">
        <v>5</v>
      </c>
      <c r="C171" s="91" t="s">
        <v>205</v>
      </c>
      <c r="D171" s="91" t="s">
        <v>321</v>
      </c>
      <c r="E171" s="92" t="s">
        <v>471</v>
      </c>
      <c r="F171" s="92" t="s">
        <v>471</v>
      </c>
      <c r="G171" s="17" t="s">
        <v>107</v>
      </c>
      <c r="H171" s="16" t="s">
        <v>472</v>
      </c>
      <c r="I171" s="23" t="s">
        <v>82</v>
      </c>
      <c r="J171" s="26" t="s">
        <v>109</v>
      </c>
      <c r="K171" s="92">
        <v>9</v>
      </c>
      <c r="L171" s="92">
        <v>392.91</v>
      </c>
      <c r="M171" s="92">
        <v>4</v>
      </c>
      <c r="N171" s="23" t="s">
        <v>84</v>
      </c>
      <c r="O171" s="18" t="s">
        <v>21</v>
      </c>
      <c r="P171" s="68">
        <v>62.8656</v>
      </c>
      <c r="Q171" s="93" t="s">
        <v>85</v>
      </c>
      <c r="R171" s="42"/>
      <c r="S171" s="42"/>
      <c r="T171" s="42"/>
      <c r="U171" s="42"/>
      <c r="V171" s="42"/>
      <c r="W171" s="42"/>
      <c r="X171" s="42"/>
      <c r="Y171" s="42"/>
      <c r="Z171" s="42"/>
      <c r="AA171" s="42"/>
      <c r="AB171" s="42"/>
      <c r="AC171" s="51"/>
      <c r="AD171" s="52"/>
      <c r="AE171" s="16" t="s">
        <v>104</v>
      </c>
      <c r="AF171" s="52">
        <v>1</v>
      </c>
      <c r="AG171" s="58" t="s">
        <v>85</v>
      </c>
    </row>
    <row r="172" s="1" customFormat="1" ht="45" hidden="1" spans="1:33">
      <c r="A172" s="10">
        <v>167</v>
      </c>
      <c r="B172" s="26" t="s">
        <v>5</v>
      </c>
      <c r="C172" s="91" t="s">
        <v>193</v>
      </c>
      <c r="D172" s="91" t="s">
        <v>193</v>
      </c>
      <c r="E172" s="92" t="s">
        <v>473</v>
      </c>
      <c r="F172" s="92" t="s">
        <v>473</v>
      </c>
      <c r="G172" s="17" t="s">
        <v>107</v>
      </c>
      <c r="H172" s="16" t="s">
        <v>474</v>
      </c>
      <c r="I172" s="23" t="s">
        <v>82</v>
      </c>
      <c r="J172" s="26" t="s">
        <v>109</v>
      </c>
      <c r="K172" s="92">
        <v>6</v>
      </c>
      <c r="L172" s="92">
        <v>198.49</v>
      </c>
      <c r="M172" s="92">
        <v>4</v>
      </c>
      <c r="N172" s="23" t="s">
        <v>84</v>
      </c>
      <c r="O172" s="18" t="s">
        <v>21</v>
      </c>
      <c r="P172" s="68">
        <v>31.7584</v>
      </c>
      <c r="Q172" s="93" t="s">
        <v>85</v>
      </c>
      <c r="R172" s="42"/>
      <c r="S172" s="42"/>
      <c r="T172" s="42"/>
      <c r="U172" s="42"/>
      <c r="V172" s="42"/>
      <c r="W172" s="42"/>
      <c r="X172" s="42"/>
      <c r="Y172" s="42"/>
      <c r="Z172" s="42"/>
      <c r="AA172" s="42"/>
      <c r="AB172" s="42"/>
      <c r="AC172" s="51"/>
      <c r="AD172" s="52"/>
      <c r="AE172" s="16" t="s">
        <v>104</v>
      </c>
      <c r="AF172" s="52">
        <v>1</v>
      </c>
      <c r="AG172" s="58" t="s">
        <v>85</v>
      </c>
    </row>
    <row r="173" s="1" customFormat="1" ht="45" hidden="1" spans="1:33">
      <c r="A173" s="10">
        <v>168</v>
      </c>
      <c r="B173" s="26" t="s">
        <v>5</v>
      </c>
      <c r="C173" s="91" t="s">
        <v>193</v>
      </c>
      <c r="D173" s="91" t="s">
        <v>193</v>
      </c>
      <c r="E173" s="92" t="s">
        <v>475</v>
      </c>
      <c r="F173" s="92" t="s">
        <v>475</v>
      </c>
      <c r="G173" s="17" t="s">
        <v>107</v>
      </c>
      <c r="H173" s="16" t="s">
        <v>476</v>
      </c>
      <c r="I173" s="23" t="s">
        <v>82</v>
      </c>
      <c r="J173" s="26" t="s">
        <v>109</v>
      </c>
      <c r="K173" s="92">
        <v>12</v>
      </c>
      <c r="L173" s="92">
        <v>400.86</v>
      </c>
      <c r="M173" s="92">
        <v>5</v>
      </c>
      <c r="N173" s="23" t="s">
        <v>84</v>
      </c>
      <c r="O173" s="18" t="s">
        <v>21</v>
      </c>
      <c r="P173" s="68">
        <v>64.1376</v>
      </c>
      <c r="Q173" s="93" t="s">
        <v>85</v>
      </c>
      <c r="R173" s="42"/>
      <c r="S173" s="42"/>
      <c r="T173" s="42"/>
      <c r="U173" s="42"/>
      <c r="V173" s="42"/>
      <c r="W173" s="42"/>
      <c r="X173" s="42"/>
      <c r="Y173" s="42"/>
      <c r="Z173" s="42"/>
      <c r="AA173" s="42"/>
      <c r="AB173" s="42"/>
      <c r="AC173" s="51"/>
      <c r="AD173" s="52"/>
      <c r="AE173" s="16" t="s">
        <v>104</v>
      </c>
      <c r="AF173" s="52">
        <v>1</v>
      </c>
      <c r="AG173" s="58" t="s">
        <v>85</v>
      </c>
    </row>
    <row r="174" s="1" customFormat="1" ht="45" hidden="1" spans="1:33">
      <c r="A174" s="10">
        <v>169</v>
      </c>
      <c r="B174" s="26" t="s">
        <v>5</v>
      </c>
      <c r="C174" s="91" t="s">
        <v>193</v>
      </c>
      <c r="D174" s="91" t="s">
        <v>193</v>
      </c>
      <c r="E174" s="92" t="s">
        <v>477</v>
      </c>
      <c r="F174" s="92" t="s">
        <v>477</v>
      </c>
      <c r="G174" s="17" t="s">
        <v>107</v>
      </c>
      <c r="H174" s="16" t="s">
        <v>478</v>
      </c>
      <c r="I174" s="23" t="s">
        <v>82</v>
      </c>
      <c r="J174" s="26" t="s">
        <v>109</v>
      </c>
      <c r="K174" s="92">
        <v>3</v>
      </c>
      <c r="L174" s="92">
        <v>130.26</v>
      </c>
      <c r="M174" s="92">
        <v>4</v>
      </c>
      <c r="N174" s="23" t="s">
        <v>84</v>
      </c>
      <c r="O174" s="18" t="s">
        <v>21</v>
      </c>
      <c r="P174" s="68">
        <v>20.8416</v>
      </c>
      <c r="Q174" s="93" t="s">
        <v>85</v>
      </c>
      <c r="R174" s="42"/>
      <c r="S174" s="42"/>
      <c r="T174" s="42"/>
      <c r="U174" s="42"/>
      <c r="V174" s="42"/>
      <c r="W174" s="42"/>
      <c r="X174" s="42"/>
      <c r="Y174" s="42"/>
      <c r="Z174" s="42"/>
      <c r="AA174" s="42"/>
      <c r="AB174" s="42"/>
      <c r="AC174" s="51"/>
      <c r="AD174" s="52"/>
      <c r="AE174" s="16" t="s">
        <v>104</v>
      </c>
      <c r="AF174" s="52">
        <v>1</v>
      </c>
      <c r="AG174" s="58" t="s">
        <v>85</v>
      </c>
    </row>
    <row r="175" s="1" customFormat="1" ht="45" hidden="1" spans="1:33">
      <c r="A175" s="10">
        <v>170</v>
      </c>
      <c r="B175" s="26" t="s">
        <v>5</v>
      </c>
      <c r="C175" s="91" t="s">
        <v>205</v>
      </c>
      <c r="D175" s="91" t="s">
        <v>327</v>
      </c>
      <c r="E175" s="92" t="s">
        <v>479</v>
      </c>
      <c r="F175" s="92" t="s">
        <v>479</v>
      </c>
      <c r="G175" s="17" t="s">
        <v>107</v>
      </c>
      <c r="H175" s="16" t="s">
        <v>480</v>
      </c>
      <c r="I175" s="23" t="s">
        <v>82</v>
      </c>
      <c r="J175" s="26" t="s">
        <v>109</v>
      </c>
      <c r="K175" s="92">
        <v>13</v>
      </c>
      <c r="L175" s="92">
        <v>462.63</v>
      </c>
      <c r="M175" s="92">
        <v>5</v>
      </c>
      <c r="N175" s="23" t="s">
        <v>89</v>
      </c>
      <c r="O175" s="18" t="s">
        <v>21</v>
      </c>
      <c r="P175" s="68">
        <v>74.0208</v>
      </c>
      <c r="Q175" s="93" t="s">
        <v>85</v>
      </c>
      <c r="R175" s="42"/>
      <c r="S175" s="42"/>
      <c r="T175" s="42"/>
      <c r="U175" s="42"/>
      <c r="V175" s="42"/>
      <c r="W175" s="42"/>
      <c r="X175" s="42"/>
      <c r="Y175" s="42"/>
      <c r="Z175" s="42"/>
      <c r="AA175" s="42"/>
      <c r="AB175" s="42"/>
      <c r="AC175" s="51"/>
      <c r="AD175" s="52"/>
      <c r="AE175" s="16" t="s">
        <v>104</v>
      </c>
      <c r="AF175" s="52">
        <v>1</v>
      </c>
      <c r="AG175" s="58" t="s">
        <v>85</v>
      </c>
    </row>
    <row r="176" s="1" customFormat="1" ht="45" hidden="1" spans="1:33">
      <c r="A176" s="10">
        <v>171</v>
      </c>
      <c r="B176" s="26" t="s">
        <v>5</v>
      </c>
      <c r="C176" s="91" t="s">
        <v>205</v>
      </c>
      <c r="D176" s="91" t="s">
        <v>327</v>
      </c>
      <c r="E176" s="92" t="s">
        <v>481</v>
      </c>
      <c r="F176" s="92" t="s">
        <v>481</v>
      </c>
      <c r="G176" s="17" t="s">
        <v>107</v>
      </c>
      <c r="H176" s="16" t="s">
        <v>482</v>
      </c>
      <c r="I176" s="23" t="s">
        <v>82</v>
      </c>
      <c r="J176" s="26" t="s">
        <v>109</v>
      </c>
      <c r="K176" s="92">
        <v>9</v>
      </c>
      <c r="L176" s="92">
        <v>360.61</v>
      </c>
      <c r="M176" s="92">
        <v>6</v>
      </c>
      <c r="N176" s="23" t="s">
        <v>89</v>
      </c>
      <c r="O176" s="18" t="s">
        <v>21</v>
      </c>
      <c r="P176" s="68">
        <v>57.6976</v>
      </c>
      <c r="Q176" s="93" t="s">
        <v>85</v>
      </c>
      <c r="R176" s="42"/>
      <c r="S176" s="42"/>
      <c r="T176" s="42"/>
      <c r="U176" s="42"/>
      <c r="V176" s="42"/>
      <c r="W176" s="42"/>
      <c r="X176" s="42"/>
      <c r="Y176" s="42"/>
      <c r="Z176" s="42"/>
      <c r="AA176" s="42"/>
      <c r="AB176" s="42"/>
      <c r="AC176" s="51"/>
      <c r="AD176" s="52"/>
      <c r="AE176" s="16" t="s">
        <v>104</v>
      </c>
      <c r="AF176" s="52">
        <v>1</v>
      </c>
      <c r="AG176" s="58" t="s">
        <v>85</v>
      </c>
    </row>
    <row r="177" s="1" customFormat="1" ht="45" hidden="1" spans="1:33">
      <c r="A177" s="10">
        <v>172</v>
      </c>
      <c r="B177" s="26" t="s">
        <v>5</v>
      </c>
      <c r="C177" s="17" t="s">
        <v>188</v>
      </c>
      <c r="D177" s="91" t="s">
        <v>483</v>
      </c>
      <c r="E177" s="92" t="s">
        <v>484</v>
      </c>
      <c r="F177" s="92" t="s">
        <v>484</v>
      </c>
      <c r="G177" s="17" t="s">
        <v>107</v>
      </c>
      <c r="H177" s="16" t="s">
        <v>485</v>
      </c>
      <c r="I177" s="23" t="s">
        <v>82</v>
      </c>
      <c r="J177" s="26" t="s">
        <v>109</v>
      </c>
      <c r="K177" s="92">
        <v>4</v>
      </c>
      <c r="L177" s="92">
        <v>213.74</v>
      </c>
      <c r="M177" s="92">
        <v>4</v>
      </c>
      <c r="N177" s="23" t="s">
        <v>84</v>
      </c>
      <c r="O177" s="18" t="s">
        <v>21</v>
      </c>
      <c r="P177" s="68">
        <v>34.1984</v>
      </c>
      <c r="Q177" s="93" t="s">
        <v>85</v>
      </c>
      <c r="R177" s="42"/>
      <c r="S177" s="42"/>
      <c r="T177" s="42"/>
      <c r="U177" s="42"/>
      <c r="V177" s="42"/>
      <c r="W177" s="42"/>
      <c r="X177" s="42"/>
      <c r="Y177" s="42"/>
      <c r="Z177" s="42"/>
      <c r="AA177" s="42"/>
      <c r="AB177" s="42"/>
      <c r="AC177" s="51"/>
      <c r="AD177" s="52"/>
      <c r="AE177" s="16" t="s">
        <v>104</v>
      </c>
      <c r="AF177" s="52">
        <v>1</v>
      </c>
      <c r="AG177" s="58" t="s">
        <v>85</v>
      </c>
    </row>
    <row r="178" s="1" customFormat="1" ht="45" hidden="1" spans="1:33">
      <c r="A178" s="10">
        <v>173</v>
      </c>
      <c r="B178" s="26" t="s">
        <v>5</v>
      </c>
      <c r="C178" s="91" t="s">
        <v>205</v>
      </c>
      <c r="D178" s="91" t="s">
        <v>321</v>
      </c>
      <c r="E178" s="92" t="s">
        <v>486</v>
      </c>
      <c r="F178" s="92" t="s">
        <v>486</v>
      </c>
      <c r="G178" s="17" t="s">
        <v>107</v>
      </c>
      <c r="H178" s="16" t="s">
        <v>487</v>
      </c>
      <c r="I178" s="23" t="s">
        <v>82</v>
      </c>
      <c r="J178" s="26" t="s">
        <v>109</v>
      </c>
      <c r="K178" s="92">
        <v>2</v>
      </c>
      <c r="L178" s="92">
        <v>64.89</v>
      </c>
      <c r="M178" s="92">
        <v>5</v>
      </c>
      <c r="N178" s="23" t="s">
        <v>84</v>
      </c>
      <c r="O178" s="18" t="s">
        <v>21</v>
      </c>
      <c r="P178" s="68">
        <v>10.3824</v>
      </c>
      <c r="Q178" s="93" t="s">
        <v>85</v>
      </c>
      <c r="R178" s="42"/>
      <c r="S178" s="42"/>
      <c r="T178" s="42"/>
      <c r="U178" s="42"/>
      <c r="V178" s="42"/>
      <c r="W178" s="42"/>
      <c r="X178" s="42"/>
      <c r="Y178" s="42"/>
      <c r="Z178" s="42"/>
      <c r="AA178" s="42"/>
      <c r="AB178" s="42"/>
      <c r="AC178" s="51"/>
      <c r="AD178" s="52"/>
      <c r="AE178" s="16" t="s">
        <v>104</v>
      </c>
      <c r="AF178" s="52">
        <v>1</v>
      </c>
      <c r="AG178" s="58" t="s">
        <v>85</v>
      </c>
    </row>
    <row r="179" s="1" customFormat="1" ht="45" hidden="1" spans="1:33">
      <c r="A179" s="10">
        <v>174</v>
      </c>
      <c r="B179" s="26" t="s">
        <v>5</v>
      </c>
      <c r="C179" s="91" t="s">
        <v>205</v>
      </c>
      <c r="D179" s="91" t="s">
        <v>321</v>
      </c>
      <c r="E179" s="92" t="s">
        <v>488</v>
      </c>
      <c r="F179" s="92" t="s">
        <v>488</v>
      </c>
      <c r="G179" s="17" t="s">
        <v>107</v>
      </c>
      <c r="H179" s="16" t="s">
        <v>489</v>
      </c>
      <c r="I179" s="23" t="s">
        <v>82</v>
      </c>
      <c r="J179" s="26" t="s">
        <v>109</v>
      </c>
      <c r="K179" s="92">
        <v>6</v>
      </c>
      <c r="L179" s="92">
        <v>237.8</v>
      </c>
      <c r="M179" s="92">
        <v>5</v>
      </c>
      <c r="N179" s="23" t="s">
        <v>84</v>
      </c>
      <c r="O179" s="18" t="s">
        <v>21</v>
      </c>
      <c r="P179" s="68">
        <v>38.048</v>
      </c>
      <c r="Q179" s="93" t="s">
        <v>85</v>
      </c>
      <c r="R179" s="42"/>
      <c r="S179" s="42"/>
      <c r="T179" s="42"/>
      <c r="U179" s="42"/>
      <c r="V179" s="42"/>
      <c r="W179" s="42"/>
      <c r="X179" s="42"/>
      <c r="Y179" s="42"/>
      <c r="Z179" s="42"/>
      <c r="AA179" s="42"/>
      <c r="AB179" s="42"/>
      <c r="AC179" s="51"/>
      <c r="AD179" s="52"/>
      <c r="AE179" s="16" t="s">
        <v>104</v>
      </c>
      <c r="AF179" s="52">
        <v>1</v>
      </c>
      <c r="AG179" s="58" t="s">
        <v>85</v>
      </c>
    </row>
    <row r="180" s="1" customFormat="1" ht="45" hidden="1" spans="1:33">
      <c r="A180" s="10">
        <v>175</v>
      </c>
      <c r="B180" s="26" t="s">
        <v>5</v>
      </c>
      <c r="C180" s="91" t="s">
        <v>205</v>
      </c>
      <c r="D180" s="91" t="s">
        <v>321</v>
      </c>
      <c r="E180" s="92" t="s">
        <v>490</v>
      </c>
      <c r="F180" s="92" t="s">
        <v>490</v>
      </c>
      <c r="G180" s="17" t="s">
        <v>107</v>
      </c>
      <c r="H180" s="16" t="s">
        <v>491</v>
      </c>
      <c r="I180" s="23" t="s">
        <v>82</v>
      </c>
      <c r="J180" s="26" t="s">
        <v>109</v>
      </c>
      <c r="K180" s="92">
        <v>3</v>
      </c>
      <c r="L180" s="92">
        <v>128.31</v>
      </c>
      <c r="M180" s="92">
        <v>4</v>
      </c>
      <c r="N180" s="23" t="s">
        <v>84</v>
      </c>
      <c r="O180" s="18" t="s">
        <v>21</v>
      </c>
      <c r="P180" s="68">
        <v>20.5296</v>
      </c>
      <c r="Q180" s="93" t="s">
        <v>85</v>
      </c>
      <c r="R180" s="42"/>
      <c r="S180" s="42"/>
      <c r="T180" s="42"/>
      <c r="U180" s="42"/>
      <c r="V180" s="42"/>
      <c r="W180" s="42"/>
      <c r="X180" s="42"/>
      <c r="Y180" s="42"/>
      <c r="Z180" s="42"/>
      <c r="AA180" s="42"/>
      <c r="AB180" s="42"/>
      <c r="AC180" s="51"/>
      <c r="AD180" s="52"/>
      <c r="AE180" s="16" t="s">
        <v>104</v>
      </c>
      <c r="AF180" s="52">
        <v>1</v>
      </c>
      <c r="AG180" s="58" t="s">
        <v>85</v>
      </c>
    </row>
    <row r="181" s="1" customFormat="1" ht="45" hidden="1" spans="1:33">
      <c r="A181" s="10">
        <v>176</v>
      </c>
      <c r="B181" s="26" t="s">
        <v>5</v>
      </c>
      <c r="C181" s="91" t="s">
        <v>193</v>
      </c>
      <c r="D181" s="91" t="s">
        <v>423</v>
      </c>
      <c r="E181" s="92" t="s">
        <v>492</v>
      </c>
      <c r="F181" s="92" t="s">
        <v>492</v>
      </c>
      <c r="G181" s="17" t="s">
        <v>107</v>
      </c>
      <c r="H181" s="16" t="s">
        <v>493</v>
      </c>
      <c r="I181" s="23" t="s">
        <v>82</v>
      </c>
      <c r="J181" s="26" t="s">
        <v>109</v>
      </c>
      <c r="K181" s="92">
        <v>19</v>
      </c>
      <c r="L181" s="92">
        <v>652.97</v>
      </c>
      <c r="M181" s="92">
        <v>4</v>
      </c>
      <c r="N181" s="23" t="s">
        <v>84</v>
      </c>
      <c r="O181" s="18" t="s">
        <v>21</v>
      </c>
      <c r="P181" s="68">
        <v>104.4752</v>
      </c>
      <c r="Q181" s="93" t="s">
        <v>85</v>
      </c>
      <c r="R181" s="42"/>
      <c r="S181" s="42"/>
      <c r="T181" s="42"/>
      <c r="U181" s="42"/>
      <c r="V181" s="42"/>
      <c r="W181" s="42"/>
      <c r="X181" s="42"/>
      <c r="Y181" s="42"/>
      <c r="Z181" s="42"/>
      <c r="AA181" s="42"/>
      <c r="AB181" s="42"/>
      <c r="AC181" s="51"/>
      <c r="AD181" s="52"/>
      <c r="AE181" s="16" t="s">
        <v>104</v>
      </c>
      <c r="AF181" s="52">
        <v>1</v>
      </c>
      <c r="AG181" s="58" t="s">
        <v>85</v>
      </c>
    </row>
    <row r="182" s="1" customFormat="1" ht="45" hidden="1" spans="1:33">
      <c r="A182" s="10">
        <v>177</v>
      </c>
      <c r="B182" s="26" t="s">
        <v>5</v>
      </c>
      <c r="C182" s="91" t="s">
        <v>193</v>
      </c>
      <c r="D182" s="91" t="s">
        <v>423</v>
      </c>
      <c r="E182" s="92" t="s">
        <v>494</v>
      </c>
      <c r="F182" s="92" t="s">
        <v>494</v>
      </c>
      <c r="G182" s="17" t="s">
        <v>107</v>
      </c>
      <c r="H182" s="16" t="s">
        <v>495</v>
      </c>
      <c r="I182" s="23" t="s">
        <v>82</v>
      </c>
      <c r="J182" s="26" t="s">
        <v>109</v>
      </c>
      <c r="K182" s="92">
        <v>19</v>
      </c>
      <c r="L182" s="92">
        <v>619.49</v>
      </c>
      <c r="M182" s="92">
        <v>4</v>
      </c>
      <c r="N182" s="23" t="s">
        <v>84</v>
      </c>
      <c r="O182" s="18" t="s">
        <v>21</v>
      </c>
      <c r="P182" s="68">
        <v>99.1184</v>
      </c>
      <c r="Q182" s="93" t="s">
        <v>85</v>
      </c>
      <c r="R182" s="42"/>
      <c r="S182" s="42"/>
      <c r="T182" s="42"/>
      <c r="U182" s="42"/>
      <c r="V182" s="42"/>
      <c r="W182" s="42"/>
      <c r="X182" s="42"/>
      <c r="Y182" s="42"/>
      <c r="Z182" s="42"/>
      <c r="AA182" s="42"/>
      <c r="AB182" s="42"/>
      <c r="AC182" s="51"/>
      <c r="AD182" s="52"/>
      <c r="AE182" s="16" t="s">
        <v>104</v>
      </c>
      <c r="AF182" s="52">
        <v>1</v>
      </c>
      <c r="AG182" s="58" t="s">
        <v>85</v>
      </c>
    </row>
    <row r="183" s="1" customFormat="1" ht="45" hidden="1" spans="1:33">
      <c r="A183" s="10">
        <v>178</v>
      </c>
      <c r="B183" s="26" t="s">
        <v>5</v>
      </c>
      <c r="C183" s="91" t="s">
        <v>193</v>
      </c>
      <c r="D183" s="91" t="s">
        <v>423</v>
      </c>
      <c r="E183" s="92" t="s">
        <v>496</v>
      </c>
      <c r="F183" s="92" t="s">
        <v>496</v>
      </c>
      <c r="G183" s="17" t="s">
        <v>107</v>
      </c>
      <c r="H183" s="16" t="s">
        <v>497</v>
      </c>
      <c r="I183" s="23" t="s">
        <v>82</v>
      </c>
      <c r="J183" s="26" t="s">
        <v>109</v>
      </c>
      <c r="K183" s="92">
        <v>21</v>
      </c>
      <c r="L183" s="92">
        <v>610.42</v>
      </c>
      <c r="M183" s="92">
        <v>4</v>
      </c>
      <c r="N183" s="23" t="s">
        <v>84</v>
      </c>
      <c r="O183" s="18" t="s">
        <v>21</v>
      </c>
      <c r="P183" s="68">
        <v>97.6672</v>
      </c>
      <c r="Q183" s="93" t="s">
        <v>85</v>
      </c>
      <c r="R183" s="42"/>
      <c r="S183" s="42"/>
      <c r="T183" s="42"/>
      <c r="U183" s="42"/>
      <c r="V183" s="42"/>
      <c r="W183" s="42"/>
      <c r="X183" s="42"/>
      <c r="Y183" s="42"/>
      <c r="Z183" s="42"/>
      <c r="AA183" s="42"/>
      <c r="AB183" s="42"/>
      <c r="AC183" s="51"/>
      <c r="AD183" s="52"/>
      <c r="AE183" s="16" t="s">
        <v>104</v>
      </c>
      <c r="AF183" s="52">
        <v>1</v>
      </c>
      <c r="AG183" s="58" t="s">
        <v>85</v>
      </c>
    </row>
    <row r="184" s="1" customFormat="1" ht="45" hidden="1" spans="1:33">
      <c r="A184" s="10">
        <v>179</v>
      </c>
      <c r="B184" s="26" t="s">
        <v>5</v>
      </c>
      <c r="C184" s="17" t="s">
        <v>188</v>
      </c>
      <c r="D184" s="17" t="s">
        <v>344</v>
      </c>
      <c r="E184" s="92" t="s">
        <v>498</v>
      </c>
      <c r="F184" s="92" t="s">
        <v>498</v>
      </c>
      <c r="G184" s="17" t="s">
        <v>107</v>
      </c>
      <c r="H184" s="16" t="s">
        <v>499</v>
      </c>
      <c r="I184" s="23" t="s">
        <v>82</v>
      </c>
      <c r="J184" s="26" t="s">
        <v>109</v>
      </c>
      <c r="K184" s="92">
        <v>7</v>
      </c>
      <c r="L184" s="92">
        <v>633.47</v>
      </c>
      <c r="M184" s="92">
        <v>4</v>
      </c>
      <c r="N184" s="23" t="s">
        <v>89</v>
      </c>
      <c r="O184" s="18" t="s">
        <v>21</v>
      </c>
      <c r="P184" s="68">
        <v>101.3552</v>
      </c>
      <c r="Q184" s="93" t="s">
        <v>85</v>
      </c>
      <c r="R184" s="42"/>
      <c r="S184" s="42"/>
      <c r="T184" s="42"/>
      <c r="U184" s="42"/>
      <c r="V184" s="42"/>
      <c r="W184" s="42"/>
      <c r="X184" s="42"/>
      <c r="Y184" s="42"/>
      <c r="Z184" s="42"/>
      <c r="AA184" s="42"/>
      <c r="AB184" s="42"/>
      <c r="AC184" s="51"/>
      <c r="AD184" s="52"/>
      <c r="AE184" s="16" t="s">
        <v>104</v>
      </c>
      <c r="AF184" s="52">
        <v>1</v>
      </c>
      <c r="AG184" s="58" t="s">
        <v>85</v>
      </c>
    </row>
    <row r="185" s="1" customFormat="1" ht="45" hidden="1" spans="1:33">
      <c r="A185" s="10">
        <v>180</v>
      </c>
      <c r="B185" s="26" t="s">
        <v>5</v>
      </c>
      <c r="C185" s="17" t="s">
        <v>205</v>
      </c>
      <c r="D185" s="91" t="s">
        <v>351</v>
      </c>
      <c r="E185" s="92" t="s">
        <v>500</v>
      </c>
      <c r="F185" s="92" t="s">
        <v>500</v>
      </c>
      <c r="G185" s="17" t="s">
        <v>107</v>
      </c>
      <c r="H185" s="16" t="s">
        <v>501</v>
      </c>
      <c r="I185" s="23" t="s">
        <v>177</v>
      </c>
      <c r="J185" s="17" t="s">
        <v>502</v>
      </c>
      <c r="K185" s="92">
        <v>5</v>
      </c>
      <c r="L185" s="92">
        <v>173.26</v>
      </c>
      <c r="M185" s="92">
        <v>2</v>
      </c>
      <c r="N185" s="23" t="s">
        <v>84</v>
      </c>
      <c r="O185" s="18" t="s">
        <v>27</v>
      </c>
      <c r="P185" s="68">
        <v>27.7216</v>
      </c>
      <c r="Q185" s="93" t="s">
        <v>85</v>
      </c>
      <c r="R185" s="42"/>
      <c r="S185" s="42"/>
      <c r="T185" s="42"/>
      <c r="U185" s="42"/>
      <c r="V185" s="42"/>
      <c r="W185" s="42"/>
      <c r="X185" s="42"/>
      <c r="Y185" s="42"/>
      <c r="Z185" s="42"/>
      <c r="AA185" s="42"/>
      <c r="AB185" s="42"/>
      <c r="AC185" s="51"/>
      <c r="AD185" s="52"/>
      <c r="AE185" s="16" t="s">
        <v>104</v>
      </c>
      <c r="AF185" s="52">
        <v>1</v>
      </c>
      <c r="AG185" s="58" t="s">
        <v>85</v>
      </c>
    </row>
    <row r="186" s="1" customFormat="1" ht="45" hidden="1" spans="1:33">
      <c r="A186" s="10">
        <v>181</v>
      </c>
      <c r="B186" s="26" t="s">
        <v>5</v>
      </c>
      <c r="C186" s="91" t="s">
        <v>205</v>
      </c>
      <c r="D186" s="91" t="s">
        <v>332</v>
      </c>
      <c r="E186" s="92" t="s">
        <v>503</v>
      </c>
      <c r="F186" s="92" t="s">
        <v>503</v>
      </c>
      <c r="G186" s="17" t="s">
        <v>107</v>
      </c>
      <c r="H186" s="16" t="s">
        <v>504</v>
      </c>
      <c r="I186" s="23" t="s">
        <v>82</v>
      </c>
      <c r="J186" s="26" t="s">
        <v>109</v>
      </c>
      <c r="K186" s="92">
        <v>6</v>
      </c>
      <c r="L186" s="92">
        <v>306.03</v>
      </c>
      <c r="M186" s="92">
        <v>2</v>
      </c>
      <c r="N186" s="23" t="s">
        <v>89</v>
      </c>
      <c r="O186" s="18" t="s">
        <v>21</v>
      </c>
      <c r="P186" s="68">
        <v>48.9648</v>
      </c>
      <c r="Q186" s="93" t="s">
        <v>85</v>
      </c>
      <c r="R186" s="42"/>
      <c r="S186" s="42"/>
      <c r="T186" s="42"/>
      <c r="U186" s="42"/>
      <c r="V186" s="42"/>
      <c r="W186" s="42"/>
      <c r="X186" s="42"/>
      <c r="Y186" s="42"/>
      <c r="Z186" s="42"/>
      <c r="AA186" s="42"/>
      <c r="AB186" s="42"/>
      <c r="AC186" s="51"/>
      <c r="AD186" s="52"/>
      <c r="AE186" s="16" t="s">
        <v>104</v>
      </c>
      <c r="AF186" s="52">
        <v>1</v>
      </c>
      <c r="AG186" s="58" t="s">
        <v>85</v>
      </c>
    </row>
    <row r="187" s="1" customFormat="1" ht="45" hidden="1" spans="1:33">
      <c r="A187" s="10">
        <v>182</v>
      </c>
      <c r="B187" s="26" t="s">
        <v>5</v>
      </c>
      <c r="C187" s="17" t="s">
        <v>188</v>
      </c>
      <c r="D187" s="17" t="s">
        <v>483</v>
      </c>
      <c r="E187" s="92" t="s">
        <v>505</v>
      </c>
      <c r="F187" s="92" t="s">
        <v>505</v>
      </c>
      <c r="G187" s="17" t="s">
        <v>107</v>
      </c>
      <c r="H187" s="16" t="s">
        <v>506</v>
      </c>
      <c r="I187" s="23" t="s">
        <v>177</v>
      </c>
      <c r="J187" s="26" t="s">
        <v>109</v>
      </c>
      <c r="K187" s="92">
        <v>3</v>
      </c>
      <c r="L187" s="92">
        <v>91.23</v>
      </c>
      <c r="M187" s="92">
        <v>5</v>
      </c>
      <c r="N187" s="23" t="s">
        <v>84</v>
      </c>
      <c r="O187" s="18" t="s">
        <v>21</v>
      </c>
      <c r="P187" s="68">
        <v>14.5968</v>
      </c>
      <c r="Q187" s="93" t="s">
        <v>85</v>
      </c>
      <c r="R187" s="42"/>
      <c r="S187" s="42"/>
      <c r="T187" s="42"/>
      <c r="U187" s="42"/>
      <c r="V187" s="42"/>
      <c r="W187" s="42"/>
      <c r="X187" s="42"/>
      <c r="Y187" s="42"/>
      <c r="Z187" s="42"/>
      <c r="AA187" s="42"/>
      <c r="AB187" s="42"/>
      <c r="AC187" s="51"/>
      <c r="AD187" s="52"/>
      <c r="AE187" s="16" t="s">
        <v>104</v>
      </c>
      <c r="AF187" s="52">
        <v>1</v>
      </c>
      <c r="AG187" s="58" t="s">
        <v>85</v>
      </c>
    </row>
    <row r="188" s="1" customFormat="1" ht="33.75" hidden="1" spans="1:33">
      <c r="A188" s="10">
        <v>183</v>
      </c>
      <c r="B188" s="26" t="s">
        <v>5</v>
      </c>
      <c r="C188" s="17" t="s">
        <v>205</v>
      </c>
      <c r="D188" s="17" t="s">
        <v>321</v>
      </c>
      <c r="E188" s="92" t="s">
        <v>507</v>
      </c>
      <c r="F188" s="92" t="s">
        <v>507</v>
      </c>
      <c r="G188" s="17" t="s">
        <v>107</v>
      </c>
      <c r="H188" s="16" t="s">
        <v>320</v>
      </c>
      <c r="I188" s="23" t="s">
        <v>177</v>
      </c>
      <c r="J188" s="26" t="s">
        <v>109</v>
      </c>
      <c r="K188" s="92">
        <v>2</v>
      </c>
      <c r="L188" s="92">
        <v>54.58</v>
      </c>
      <c r="M188" s="92">
        <v>2</v>
      </c>
      <c r="N188" s="23" t="s">
        <v>89</v>
      </c>
      <c r="O188" s="18" t="s">
        <v>21</v>
      </c>
      <c r="P188" s="68">
        <v>8.7328</v>
      </c>
      <c r="Q188" s="93" t="s">
        <v>85</v>
      </c>
      <c r="R188" s="42"/>
      <c r="S188" s="42"/>
      <c r="T188" s="42"/>
      <c r="U188" s="42"/>
      <c r="V188" s="42"/>
      <c r="W188" s="42"/>
      <c r="X188" s="42"/>
      <c r="Y188" s="42"/>
      <c r="Z188" s="42"/>
      <c r="AA188" s="42"/>
      <c r="AB188" s="42"/>
      <c r="AC188" s="51"/>
      <c r="AD188" s="52"/>
      <c r="AE188" s="16" t="s">
        <v>104</v>
      </c>
      <c r="AF188" s="52">
        <v>1</v>
      </c>
      <c r="AG188" s="58" t="s">
        <v>85</v>
      </c>
    </row>
    <row r="189" s="1" customFormat="1" ht="45" hidden="1" spans="1:33">
      <c r="A189" s="10">
        <v>184</v>
      </c>
      <c r="B189" s="26" t="s">
        <v>5</v>
      </c>
      <c r="C189" s="91" t="s">
        <v>205</v>
      </c>
      <c r="D189" s="91" t="s">
        <v>321</v>
      </c>
      <c r="E189" s="92" t="s">
        <v>508</v>
      </c>
      <c r="F189" s="92" t="s">
        <v>508</v>
      </c>
      <c r="G189" s="17" t="s">
        <v>107</v>
      </c>
      <c r="H189" s="16" t="s">
        <v>509</v>
      </c>
      <c r="I189" s="23" t="s">
        <v>82</v>
      </c>
      <c r="J189" s="26" t="s">
        <v>109</v>
      </c>
      <c r="K189" s="92">
        <v>4</v>
      </c>
      <c r="L189" s="92">
        <v>189.39</v>
      </c>
      <c r="M189" s="92">
        <v>2</v>
      </c>
      <c r="N189" s="23" t="s">
        <v>89</v>
      </c>
      <c r="O189" s="18" t="s">
        <v>21</v>
      </c>
      <c r="P189" s="68">
        <v>30.3024</v>
      </c>
      <c r="Q189" s="93" t="s">
        <v>85</v>
      </c>
      <c r="R189" s="42"/>
      <c r="S189" s="42"/>
      <c r="T189" s="42"/>
      <c r="U189" s="42"/>
      <c r="V189" s="42"/>
      <c r="W189" s="42"/>
      <c r="X189" s="42"/>
      <c r="Y189" s="42"/>
      <c r="Z189" s="42"/>
      <c r="AA189" s="42"/>
      <c r="AB189" s="42"/>
      <c r="AC189" s="51"/>
      <c r="AD189" s="52"/>
      <c r="AE189" s="16" t="s">
        <v>104</v>
      </c>
      <c r="AF189" s="52">
        <v>1</v>
      </c>
      <c r="AG189" s="58" t="s">
        <v>85</v>
      </c>
    </row>
    <row r="190" s="1" customFormat="1" ht="45" hidden="1" spans="1:33">
      <c r="A190" s="10">
        <v>185</v>
      </c>
      <c r="B190" s="26" t="s">
        <v>5</v>
      </c>
      <c r="C190" s="91" t="s">
        <v>193</v>
      </c>
      <c r="D190" s="91" t="s">
        <v>193</v>
      </c>
      <c r="E190" s="92" t="s">
        <v>510</v>
      </c>
      <c r="F190" s="92" t="s">
        <v>510</v>
      </c>
      <c r="G190" s="17" t="s">
        <v>107</v>
      </c>
      <c r="H190" s="16" t="s">
        <v>420</v>
      </c>
      <c r="I190" s="23" t="s">
        <v>177</v>
      </c>
      <c r="J190" s="26" t="s">
        <v>109</v>
      </c>
      <c r="K190" s="92">
        <v>4</v>
      </c>
      <c r="L190" s="92">
        <v>170.67</v>
      </c>
      <c r="M190" s="92">
        <v>2</v>
      </c>
      <c r="N190" s="23" t="s">
        <v>89</v>
      </c>
      <c r="O190" s="18" t="s">
        <v>21</v>
      </c>
      <c r="P190" s="68">
        <v>27.3072</v>
      </c>
      <c r="Q190" s="93" t="s">
        <v>85</v>
      </c>
      <c r="R190" s="42"/>
      <c r="S190" s="42"/>
      <c r="T190" s="42"/>
      <c r="U190" s="42"/>
      <c r="V190" s="42"/>
      <c r="W190" s="42"/>
      <c r="X190" s="42"/>
      <c r="Y190" s="42"/>
      <c r="Z190" s="42"/>
      <c r="AA190" s="42"/>
      <c r="AB190" s="42"/>
      <c r="AC190" s="51"/>
      <c r="AD190" s="52"/>
      <c r="AE190" s="16" t="s">
        <v>104</v>
      </c>
      <c r="AF190" s="52">
        <v>1</v>
      </c>
      <c r="AG190" s="58" t="s">
        <v>85</v>
      </c>
    </row>
    <row r="191" s="1" customFormat="1" ht="33.75" hidden="1" spans="1:33">
      <c r="A191" s="10">
        <v>186</v>
      </c>
      <c r="B191" s="26" t="s">
        <v>5</v>
      </c>
      <c r="C191" s="91" t="s">
        <v>193</v>
      </c>
      <c r="D191" s="91" t="s">
        <v>193</v>
      </c>
      <c r="E191" s="92" t="s">
        <v>511</v>
      </c>
      <c r="F191" s="92" t="s">
        <v>511</v>
      </c>
      <c r="G191" s="17" t="s">
        <v>107</v>
      </c>
      <c r="H191" s="16" t="s">
        <v>512</v>
      </c>
      <c r="I191" s="23" t="s">
        <v>177</v>
      </c>
      <c r="J191" s="26" t="s">
        <v>109</v>
      </c>
      <c r="K191" s="92">
        <v>3</v>
      </c>
      <c r="L191" s="92">
        <v>132.72</v>
      </c>
      <c r="M191" s="92">
        <v>1</v>
      </c>
      <c r="N191" s="23" t="s">
        <v>84</v>
      </c>
      <c r="O191" s="18" t="s">
        <v>27</v>
      </c>
      <c r="P191" s="68">
        <v>21.2352</v>
      </c>
      <c r="Q191" s="93" t="s">
        <v>85</v>
      </c>
      <c r="R191" s="42"/>
      <c r="S191" s="42"/>
      <c r="T191" s="42"/>
      <c r="U191" s="42"/>
      <c r="V191" s="42"/>
      <c r="W191" s="42"/>
      <c r="X191" s="42"/>
      <c r="Y191" s="42"/>
      <c r="Z191" s="42"/>
      <c r="AA191" s="42"/>
      <c r="AB191" s="42"/>
      <c r="AC191" s="51"/>
      <c r="AD191" s="52"/>
      <c r="AE191" s="16" t="s">
        <v>104</v>
      </c>
      <c r="AF191" s="52">
        <v>1</v>
      </c>
      <c r="AG191" s="58" t="s">
        <v>85</v>
      </c>
    </row>
    <row r="192" s="1" customFormat="1" ht="45" hidden="1" spans="1:33">
      <c r="A192" s="10">
        <v>187</v>
      </c>
      <c r="B192" s="26" t="s">
        <v>5</v>
      </c>
      <c r="C192" s="91" t="s">
        <v>193</v>
      </c>
      <c r="D192" s="91" t="s">
        <v>423</v>
      </c>
      <c r="E192" s="92" t="s">
        <v>513</v>
      </c>
      <c r="F192" s="92" t="s">
        <v>513</v>
      </c>
      <c r="G192" s="17" t="s">
        <v>107</v>
      </c>
      <c r="H192" s="16" t="s">
        <v>514</v>
      </c>
      <c r="I192" s="23" t="s">
        <v>177</v>
      </c>
      <c r="J192" s="26" t="s">
        <v>109</v>
      </c>
      <c r="K192" s="92">
        <v>1</v>
      </c>
      <c r="L192" s="92">
        <v>11.67</v>
      </c>
      <c r="M192" s="92">
        <v>1</v>
      </c>
      <c r="N192" s="23" t="s">
        <v>89</v>
      </c>
      <c r="O192" s="18" t="s">
        <v>21</v>
      </c>
      <c r="P192" s="68">
        <v>1.8672</v>
      </c>
      <c r="Q192" s="93" t="s">
        <v>85</v>
      </c>
      <c r="R192" s="42"/>
      <c r="S192" s="42"/>
      <c r="T192" s="42"/>
      <c r="U192" s="42"/>
      <c r="V192" s="42"/>
      <c r="W192" s="42"/>
      <c r="X192" s="42"/>
      <c r="Y192" s="42"/>
      <c r="Z192" s="42"/>
      <c r="AA192" s="42"/>
      <c r="AB192" s="42"/>
      <c r="AC192" s="51"/>
      <c r="AD192" s="52"/>
      <c r="AE192" s="16" t="s">
        <v>104</v>
      </c>
      <c r="AF192" s="52">
        <v>1</v>
      </c>
      <c r="AG192" s="58" t="s">
        <v>85</v>
      </c>
    </row>
    <row r="193" s="1" customFormat="1" ht="45" hidden="1" spans="1:33">
      <c r="A193" s="10">
        <v>188</v>
      </c>
      <c r="B193" s="16" t="s">
        <v>5</v>
      </c>
      <c r="C193" s="95" t="s">
        <v>188</v>
      </c>
      <c r="D193" s="95" t="s">
        <v>344</v>
      </c>
      <c r="E193" s="96" t="s">
        <v>515</v>
      </c>
      <c r="F193" s="96" t="s">
        <v>515</v>
      </c>
      <c r="G193" s="17" t="s">
        <v>107</v>
      </c>
      <c r="H193" s="16" t="s">
        <v>516</v>
      </c>
      <c r="I193" s="23" t="s">
        <v>82</v>
      </c>
      <c r="J193" s="16" t="s">
        <v>109</v>
      </c>
      <c r="K193" s="96">
        <v>4</v>
      </c>
      <c r="L193" s="96">
        <v>213.71</v>
      </c>
      <c r="M193" s="96">
        <v>6</v>
      </c>
      <c r="N193" s="23" t="s">
        <v>84</v>
      </c>
      <c r="O193" s="18" t="s">
        <v>21</v>
      </c>
      <c r="P193" s="68">
        <v>34.1936</v>
      </c>
      <c r="Q193" s="88" t="s">
        <v>86</v>
      </c>
      <c r="R193" s="42"/>
      <c r="S193" s="42"/>
      <c r="T193" s="42"/>
      <c r="U193" s="42"/>
      <c r="V193" s="42"/>
      <c r="W193" s="42"/>
      <c r="X193" s="42"/>
      <c r="Y193" s="42"/>
      <c r="Z193" s="42"/>
      <c r="AA193" s="42"/>
      <c r="AB193" s="42"/>
      <c r="AC193" s="51"/>
      <c r="AD193" s="52"/>
      <c r="AE193" s="16" t="s">
        <v>104</v>
      </c>
      <c r="AF193" s="52">
        <v>1</v>
      </c>
      <c r="AG193" s="58" t="s">
        <v>85</v>
      </c>
    </row>
    <row r="194" s="1" customFormat="1" ht="45" hidden="1" spans="1:33">
      <c r="A194" s="10">
        <v>189</v>
      </c>
      <c r="B194" s="16" t="s">
        <v>5</v>
      </c>
      <c r="C194" s="16" t="s">
        <v>188</v>
      </c>
      <c r="D194" s="16" t="s">
        <v>314</v>
      </c>
      <c r="E194" s="16" t="s">
        <v>517</v>
      </c>
      <c r="F194" s="96" t="s">
        <v>518</v>
      </c>
      <c r="G194" s="17" t="s">
        <v>107</v>
      </c>
      <c r="H194" s="26" t="s">
        <v>519</v>
      </c>
      <c r="I194" s="23" t="s">
        <v>177</v>
      </c>
      <c r="J194" s="16" t="s">
        <v>109</v>
      </c>
      <c r="K194" s="16">
        <v>1</v>
      </c>
      <c r="L194" s="96">
        <v>107.56</v>
      </c>
      <c r="M194" s="96">
        <v>2</v>
      </c>
      <c r="N194" s="23" t="s">
        <v>84</v>
      </c>
      <c r="O194" s="26" t="s">
        <v>21</v>
      </c>
      <c r="P194" s="68">
        <v>17.2096</v>
      </c>
      <c r="Q194" s="93" t="s">
        <v>85</v>
      </c>
      <c r="R194" s="42"/>
      <c r="S194" s="42"/>
      <c r="T194" s="42"/>
      <c r="U194" s="42"/>
      <c r="V194" s="42"/>
      <c r="W194" s="42"/>
      <c r="X194" s="42"/>
      <c r="Y194" s="42"/>
      <c r="Z194" s="42"/>
      <c r="AA194" s="42"/>
      <c r="AB194" s="42"/>
      <c r="AC194" s="51"/>
      <c r="AD194" s="52"/>
      <c r="AE194" s="16" t="s">
        <v>104</v>
      </c>
      <c r="AF194" s="52">
        <v>1</v>
      </c>
      <c r="AG194" s="58" t="s">
        <v>85</v>
      </c>
    </row>
    <row r="195" s="1" customFormat="1" ht="33.75" hidden="1" spans="1:33">
      <c r="A195" s="10">
        <v>190</v>
      </c>
      <c r="B195" s="16" t="s">
        <v>6</v>
      </c>
      <c r="C195" s="16" t="s">
        <v>520</v>
      </c>
      <c r="D195" s="16" t="s">
        <v>521</v>
      </c>
      <c r="E195" s="16" t="s">
        <v>522</v>
      </c>
      <c r="F195" s="16" t="s">
        <v>523</v>
      </c>
      <c r="G195" s="23" t="s">
        <v>524</v>
      </c>
      <c r="H195" s="23"/>
      <c r="I195" s="101" t="s">
        <v>82</v>
      </c>
      <c r="J195" s="31" t="s">
        <v>204</v>
      </c>
      <c r="K195" s="24">
        <v>23</v>
      </c>
      <c r="L195" s="25">
        <v>1735</v>
      </c>
      <c r="M195" s="16">
        <v>4</v>
      </c>
      <c r="N195" s="16" t="s">
        <v>89</v>
      </c>
      <c r="O195" s="102" t="s">
        <v>21</v>
      </c>
      <c r="P195" s="25">
        <v>150</v>
      </c>
      <c r="Q195" s="16" t="s">
        <v>85</v>
      </c>
      <c r="R195" s="42"/>
      <c r="S195" s="42"/>
      <c r="T195" s="42"/>
      <c r="U195" s="42"/>
      <c r="V195" s="42"/>
      <c r="W195" s="42"/>
      <c r="X195" s="42"/>
      <c r="Y195" s="42"/>
      <c r="Z195" s="42"/>
      <c r="AA195" s="42"/>
      <c r="AB195" s="42"/>
      <c r="AC195" s="51"/>
      <c r="AD195" s="52"/>
      <c r="AE195" s="53"/>
      <c r="AF195" s="52">
        <v>1</v>
      </c>
      <c r="AG195" s="58" t="s">
        <v>86</v>
      </c>
    </row>
    <row r="196" s="1" customFormat="1" ht="33.75" hidden="1" spans="1:33">
      <c r="A196" s="10">
        <v>191</v>
      </c>
      <c r="B196" s="16" t="s">
        <v>6</v>
      </c>
      <c r="C196" s="16" t="s">
        <v>520</v>
      </c>
      <c r="D196" s="16" t="s">
        <v>521</v>
      </c>
      <c r="E196" s="16" t="s">
        <v>522</v>
      </c>
      <c r="F196" s="16" t="s">
        <v>525</v>
      </c>
      <c r="G196" s="23" t="s">
        <v>524</v>
      </c>
      <c r="H196" s="23"/>
      <c r="I196" s="101" t="s">
        <v>82</v>
      </c>
      <c r="J196" s="31" t="s">
        <v>204</v>
      </c>
      <c r="K196" s="24">
        <v>24</v>
      </c>
      <c r="L196" s="25">
        <v>1041</v>
      </c>
      <c r="M196" s="16">
        <v>3</v>
      </c>
      <c r="N196" s="16" t="s">
        <v>89</v>
      </c>
      <c r="O196" s="102" t="s">
        <v>21</v>
      </c>
      <c r="P196" s="25">
        <v>150</v>
      </c>
      <c r="Q196" s="16" t="s">
        <v>85</v>
      </c>
      <c r="R196" s="42"/>
      <c r="S196" s="42"/>
      <c r="T196" s="42"/>
      <c r="U196" s="42"/>
      <c r="V196" s="42"/>
      <c r="W196" s="42"/>
      <c r="X196" s="42"/>
      <c r="Y196" s="42"/>
      <c r="Z196" s="42"/>
      <c r="AA196" s="42"/>
      <c r="AB196" s="42"/>
      <c r="AC196" s="51"/>
      <c r="AD196" s="52"/>
      <c r="AE196" s="53"/>
      <c r="AF196" s="52">
        <v>1</v>
      </c>
      <c r="AG196" s="58" t="s">
        <v>86</v>
      </c>
    </row>
    <row r="197" s="1" customFormat="1" ht="33.75" hidden="1" spans="1:33">
      <c r="A197" s="10">
        <v>192</v>
      </c>
      <c r="B197" s="16" t="s">
        <v>6</v>
      </c>
      <c r="C197" s="16" t="s">
        <v>520</v>
      </c>
      <c r="D197" s="16" t="s">
        <v>521</v>
      </c>
      <c r="E197" s="16" t="s">
        <v>522</v>
      </c>
      <c r="F197" s="16" t="s">
        <v>526</v>
      </c>
      <c r="G197" s="23" t="s">
        <v>524</v>
      </c>
      <c r="H197" s="23"/>
      <c r="I197" s="101" t="s">
        <v>82</v>
      </c>
      <c r="J197" s="31" t="s">
        <v>204</v>
      </c>
      <c r="K197" s="24">
        <v>20</v>
      </c>
      <c r="L197" s="25">
        <v>1041</v>
      </c>
      <c r="M197" s="16">
        <v>3</v>
      </c>
      <c r="N197" s="16" t="s">
        <v>89</v>
      </c>
      <c r="O197" s="102" t="s">
        <v>21</v>
      </c>
      <c r="P197" s="25">
        <v>150</v>
      </c>
      <c r="Q197" s="16" t="s">
        <v>85</v>
      </c>
      <c r="R197" s="42"/>
      <c r="S197" s="42"/>
      <c r="T197" s="42"/>
      <c r="U197" s="42"/>
      <c r="V197" s="42"/>
      <c r="W197" s="42"/>
      <c r="X197" s="42"/>
      <c r="Y197" s="42"/>
      <c r="Z197" s="42"/>
      <c r="AA197" s="42"/>
      <c r="AB197" s="42"/>
      <c r="AC197" s="51"/>
      <c r="AD197" s="52"/>
      <c r="AE197" s="53"/>
      <c r="AF197" s="52">
        <v>1</v>
      </c>
      <c r="AG197" s="58" t="s">
        <v>86</v>
      </c>
    </row>
    <row r="198" s="1" customFormat="1" ht="45" hidden="1" spans="1:33">
      <c r="A198" s="10">
        <v>193</v>
      </c>
      <c r="B198" s="16" t="s">
        <v>6</v>
      </c>
      <c r="C198" s="95" t="s">
        <v>527</v>
      </c>
      <c r="D198" s="95" t="s">
        <v>528</v>
      </c>
      <c r="E198" s="95" t="s">
        <v>529</v>
      </c>
      <c r="F198" s="16" t="s">
        <v>529</v>
      </c>
      <c r="G198" s="23" t="s">
        <v>107</v>
      </c>
      <c r="H198" s="23" t="s">
        <v>530</v>
      </c>
      <c r="I198" s="23" t="s">
        <v>177</v>
      </c>
      <c r="J198" s="26" t="s">
        <v>109</v>
      </c>
      <c r="K198" s="24">
        <v>3</v>
      </c>
      <c r="L198" s="25">
        <v>138.68</v>
      </c>
      <c r="M198" s="26">
        <v>1</v>
      </c>
      <c r="N198" s="23" t="s">
        <v>89</v>
      </c>
      <c r="O198" s="18" t="s">
        <v>21</v>
      </c>
      <c r="P198" s="25">
        <v>22.1888</v>
      </c>
      <c r="Q198" s="16" t="s">
        <v>85</v>
      </c>
      <c r="R198" s="42"/>
      <c r="S198" s="42"/>
      <c r="T198" s="42"/>
      <c r="U198" s="42"/>
      <c r="V198" s="42"/>
      <c r="W198" s="42"/>
      <c r="X198" s="42"/>
      <c r="Y198" s="42"/>
      <c r="Z198" s="42"/>
      <c r="AA198" s="42"/>
      <c r="AB198" s="42"/>
      <c r="AC198" s="51"/>
      <c r="AD198" s="52"/>
      <c r="AE198" s="54"/>
      <c r="AF198" s="52">
        <v>1</v>
      </c>
      <c r="AG198" s="58" t="s">
        <v>85</v>
      </c>
    </row>
    <row r="199" s="1" customFormat="1" ht="45" hidden="1" spans="1:33">
      <c r="A199" s="10">
        <v>194</v>
      </c>
      <c r="B199" s="16" t="s">
        <v>6</v>
      </c>
      <c r="C199" s="95" t="s">
        <v>527</v>
      </c>
      <c r="D199" s="95" t="s">
        <v>528</v>
      </c>
      <c r="E199" s="95" t="s">
        <v>531</v>
      </c>
      <c r="F199" s="16" t="s">
        <v>531</v>
      </c>
      <c r="G199" s="23" t="s">
        <v>107</v>
      </c>
      <c r="H199" s="23" t="s">
        <v>532</v>
      </c>
      <c r="I199" s="23" t="s">
        <v>177</v>
      </c>
      <c r="J199" s="26" t="s">
        <v>109</v>
      </c>
      <c r="K199" s="24">
        <v>4</v>
      </c>
      <c r="L199" s="25">
        <v>101.82</v>
      </c>
      <c r="M199" s="26">
        <v>1</v>
      </c>
      <c r="N199" s="23" t="s">
        <v>89</v>
      </c>
      <c r="O199" s="18" t="s">
        <v>21</v>
      </c>
      <c r="P199" s="25">
        <v>16.2912</v>
      </c>
      <c r="Q199" s="16" t="s">
        <v>85</v>
      </c>
      <c r="R199" s="42"/>
      <c r="S199" s="42"/>
      <c r="T199" s="42"/>
      <c r="U199" s="42"/>
      <c r="V199" s="42"/>
      <c r="W199" s="42"/>
      <c r="X199" s="42"/>
      <c r="Y199" s="42"/>
      <c r="Z199" s="42"/>
      <c r="AA199" s="42"/>
      <c r="AB199" s="42"/>
      <c r="AC199" s="51"/>
      <c r="AD199" s="52"/>
      <c r="AE199" s="54"/>
      <c r="AF199" s="52">
        <v>1</v>
      </c>
      <c r="AG199" s="58" t="s">
        <v>85</v>
      </c>
    </row>
    <row r="200" s="1" customFormat="1" ht="45" hidden="1" spans="1:33">
      <c r="A200" s="10">
        <v>195</v>
      </c>
      <c r="B200" s="16" t="s">
        <v>6</v>
      </c>
      <c r="C200" s="95" t="s">
        <v>527</v>
      </c>
      <c r="D200" s="95" t="s">
        <v>528</v>
      </c>
      <c r="E200" s="95" t="s">
        <v>533</v>
      </c>
      <c r="F200" s="16" t="s">
        <v>533</v>
      </c>
      <c r="G200" s="23" t="s">
        <v>107</v>
      </c>
      <c r="H200" s="23" t="s">
        <v>534</v>
      </c>
      <c r="I200" s="101" t="s">
        <v>82</v>
      </c>
      <c r="J200" s="26" t="s">
        <v>109</v>
      </c>
      <c r="K200" s="24">
        <v>19</v>
      </c>
      <c r="L200" s="25">
        <v>908.83</v>
      </c>
      <c r="M200" s="26">
        <v>2</v>
      </c>
      <c r="N200" s="23" t="s">
        <v>89</v>
      </c>
      <c r="O200" s="18" t="s">
        <v>21</v>
      </c>
      <c r="P200" s="25">
        <v>145.4128</v>
      </c>
      <c r="Q200" s="16" t="s">
        <v>85</v>
      </c>
      <c r="R200" s="42"/>
      <c r="S200" s="42"/>
      <c r="T200" s="42"/>
      <c r="U200" s="42"/>
      <c r="V200" s="42"/>
      <c r="W200" s="42"/>
      <c r="X200" s="42"/>
      <c r="Y200" s="42"/>
      <c r="Z200" s="42"/>
      <c r="AA200" s="42"/>
      <c r="AB200" s="42"/>
      <c r="AC200" s="51"/>
      <c r="AD200" s="52"/>
      <c r="AE200" s="54"/>
      <c r="AF200" s="52">
        <v>1</v>
      </c>
      <c r="AG200" s="58" t="s">
        <v>85</v>
      </c>
    </row>
    <row r="201" s="1" customFormat="1" ht="45" hidden="1" spans="1:33">
      <c r="A201" s="10">
        <v>196</v>
      </c>
      <c r="B201" s="16" t="s">
        <v>6</v>
      </c>
      <c r="C201" s="16" t="s">
        <v>535</v>
      </c>
      <c r="D201" s="16" t="s">
        <v>536</v>
      </c>
      <c r="E201" s="16" t="s">
        <v>537</v>
      </c>
      <c r="F201" s="16" t="s">
        <v>537</v>
      </c>
      <c r="G201" s="23" t="s">
        <v>107</v>
      </c>
      <c r="H201" s="23" t="s">
        <v>538</v>
      </c>
      <c r="I201" s="101" t="s">
        <v>82</v>
      </c>
      <c r="J201" s="26" t="s">
        <v>109</v>
      </c>
      <c r="K201" s="24">
        <v>39</v>
      </c>
      <c r="L201" s="25">
        <v>1659.54</v>
      </c>
      <c r="M201" s="16">
        <v>3</v>
      </c>
      <c r="N201" s="16" t="s">
        <v>84</v>
      </c>
      <c r="O201" s="18" t="s">
        <v>21</v>
      </c>
      <c r="P201" s="25">
        <v>265.5264</v>
      </c>
      <c r="Q201" s="16" t="s">
        <v>85</v>
      </c>
      <c r="R201" s="42"/>
      <c r="S201" s="42"/>
      <c r="T201" s="42"/>
      <c r="U201" s="42"/>
      <c r="V201" s="42"/>
      <c r="W201" s="42"/>
      <c r="X201" s="42"/>
      <c r="Y201" s="42"/>
      <c r="Z201" s="42"/>
      <c r="AA201" s="42"/>
      <c r="AB201" s="42"/>
      <c r="AC201" s="51"/>
      <c r="AD201" s="52"/>
      <c r="AE201" s="54"/>
      <c r="AF201" s="52">
        <v>1</v>
      </c>
      <c r="AG201" s="58" t="s">
        <v>85</v>
      </c>
    </row>
    <row r="202" s="1" customFormat="1" ht="45" hidden="1" spans="1:33">
      <c r="A202" s="10">
        <v>197</v>
      </c>
      <c r="B202" s="16" t="s">
        <v>6</v>
      </c>
      <c r="C202" s="16" t="s">
        <v>535</v>
      </c>
      <c r="D202" s="16" t="s">
        <v>536</v>
      </c>
      <c r="E202" s="16" t="s">
        <v>539</v>
      </c>
      <c r="F202" s="16" t="s">
        <v>539</v>
      </c>
      <c r="G202" s="23" t="s">
        <v>107</v>
      </c>
      <c r="H202" s="23" t="s">
        <v>540</v>
      </c>
      <c r="I202" s="101" t="s">
        <v>82</v>
      </c>
      <c r="J202" s="26" t="s">
        <v>109</v>
      </c>
      <c r="K202" s="24">
        <v>10</v>
      </c>
      <c r="L202" s="25">
        <v>354.59</v>
      </c>
      <c r="M202" s="16">
        <v>2</v>
      </c>
      <c r="N202" s="16" t="s">
        <v>84</v>
      </c>
      <c r="O202" s="18" t="s">
        <v>21</v>
      </c>
      <c r="P202" s="25">
        <v>56.7344</v>
      </c>
      <c r="Q202" s="16" t="s">
        <v>85</v>
      </c>
      <c r="R202" s="42"/>
      <c r="S202" s="42"/>
      <c r="T202" s="42"/>
      <c r="U202" s="42"/>
      <c r="V202" s="42"/>
      <c r="W202" s="42"/>
      <c r="X202" s="42"/>
      <c r="Y202" s="42"/>
      <c r="Z202" s="42"/>
      <c r="AA202" s="42"/>
      <c r="AB202" s="42"/>
      <c r="AC202" s="51"/>
      <c r="AD202" s="52"/>
      <c r="AE202" s="53"/>
      <c r="AF202" s="52">
        <v>1</v>
      </c>
      <c r="AG202" s="58" t="s">
        <v>85</v>
      </c>
    </row>
    <row r="203" s="1" customFormat="1" ht="45" hidden="1" spans="1:33">
      <c r="A203" s="10">
        <v>198</v>
      </c>
      <c r="B203" s="16" t="s">
        <v>6</v>
      </c>
      <c r="C203" s="16" t="s">
        <v>535</v>
      </c>
      <c r="D203" s="16" t="s">
        <v>536</v>
      </c>
      <c r="E203" s="16" t="s">
        <v>541</v>
      </c>
      <c r="F203" s="16" t="s">
        <v>541</v>
      </c>
      <c r="G203" s="23" t="s">
        <v>107</v>
      </c>
      <c r="H203" s="23" t="s">
        <v>542</v>
      </c>
      <c r="I203" s="101" t="s">
        <v>82</v>
      </c>
      <c r="J203" s="26" t="s">
        <v>109</v>
      </c>
      <c r="K203" s="24">
        <v>22</v>
      </c>
      <c r="L203" s="25">
        <v>946.6</v>
      </c>
      <c r="M203" s="16">
        <v>2</v>
      </c>
      <c r="N203" s="16" t="s">
        <v>89</v>
      </c>
      <c r="O203" s="18" t="s">
        <v>21</v>
      </c>
      <c r="P203" s="25">
        <v>151.456</v>
      </c>
      <c r="Q203" s="16" t="s">
        <v>85</v>
      </c>
      <c r="R203" s="42"/>
      <c r="S203" s="42"/>
      <c r="T203" s="42"/>
      <c r="U203" s="42"/>
      <c r="V203" s="42"/>
      <c r="W203" s="42"/>
      <c r="X203" s="42"/>
      <c r="Y203" s="42"/>
      <c r="Z203" s="42"/>
      <c r="AA203" s="42"/>
      <c r="AB203" s="42"/>
      <c r="AC203" s="51"/>
      <c r="AD203" s="52"/>
      <c r="AE203" s="53"/>
      <c r="AF203" s="52">
        <v>1</v>
      </c>
      <c r="AG203" s="58" t="s">
        <v>85</v>
      </c>
    </row>
    <row r="204" s="1" customFormat="1" ht="45" hidden="1" spans="1:33">
      <c r="A204" s="10">
        <v>199</v>
      </c>
      <c r="B204" s="16" t="s">
        <v>6</v>
      </c>
      <c r="C204" s="16" t="s">
        <v>535</v>
      </c>
      <c r="D204" s="16" t="s">
        <v>536</v>
      </c>
      <c r="E204" s="16" t="s">
        <v>543</v>
      </c>
      <c r="F204" s="16" t="s">
        <v>543</v>
      </c>
      <c r="G204" s="23" t="s">
        <v>107</v>
      </c>
      <c r="H204" s="23" t="s">
        <v>544</v>
      </c>
      <c r="I204" s="101" t="s">
        <v>82</v>
      </c>
      <c r="J204" s="26" t="s">
        <v>109</v>
      </c>
      <c r="K204" s="24">
        <v>1</v>
      </c>
      <c r="L204" s="25">
        <v>51</v>
      </c>
      <c r="M204" s="103">
        <v>1</v>
      </c>
      <c r="N204" s="23" t="s">
        <v>89</v>
      </c>
      <c r="O204" s="18" t="s">
        <v>21</v>
      </c>
      <c r="P204" s="25">
        <v>8.16</v>
      </c>
      <c r="Q204" s="16" t="s">
        <v>85</v>
      </c>
      <c r="R204" s="42"/>
      <c r="S204" s="42"/>
      <c r="T204" s="42"/>
      <c r="U204" s="42"/>
      <c r="V204" s="42"/>
      <c r="W204" s="42"/>
      <c r="X204" s="42"/>
      <c r="Y204" s="42"/>
      <c r="Z204" s="42"/>
      <c r="AA204" s="42"/>
      <c r="AB204" s="42"/>
      <c r="AC204" s="51"/>
      <c r="AD204" s="104"/>
      <c r="AE204" s="53"/>
      <c r="AF204" s="52">
        <v>1</v>
      </c>
      <c r="AG204" s="58" t="s">
        <v>85</v>
      </c>
    </row>
    <row r="205" s="1" customFormat="1" ht="56.25" hidden="1" spans="1:33">
      <c r="A205" s="10">
        <v>200</v>
      </c>
      <c r="B205" s="16" t="s">
        <v>7</v>
      </c>
      <c r="C205" s="97" t="s">
        <v>545</v>
      </c>
      <c r="D205" s="97" t="s">
        <v>546</v>
      </c>
      <c r="E205" s="16" t="s">
        <v>547</v>
      </c>
      <c r="F205" s="23" t="s">
        <v>547</v>
      </c>
      <c r="G205" s="23" t="s">
        <v>548</v>
      </c>
      <c r="H205" s="16"/>
      <c r="I205" s="101" t="s">
        <v>549</v>
      </c>
      <c r="J205" s="31" t="s">
        <v>83</v>
      </c>
      <c r="K205" s="24">
        <v>4</v>
      </c>
      <c r="L205" s="25">
        <v>108.93</v>
      </c>
      <c r="M205" s="23">
        <v>2</v>
      </c>
      <c r="N205" s="26" t="s">
        <v>84</v>
      </c>
      <c r="O205" s="102" t="s">
        <v>27</v>
      </c>
      <c r="P205" s="25">
        <v>32.67</v>
      </c>
      <c r="Q205" s="16" t="s">
        <v>85</v>
      </c>
      <c r="R205" s="42"/>
      <c r="S205" s="42"/>
      <c r="T205" s="42"/>
      <c r="U205" s="42"/>
      <c r="V205" s="42"/>
      <c r="W205" s="42"/>
      <c r="X205" s="42"/>
      <c r="Y205" s="42"/>
      <c r="Z205" s="42"/>
      <c r="AA205" s="42"/>
      <c r="AB205" s="42"/>
      <c r="AC205" s="51"/>
      <c r="AD205" s="104"/>
      <c r="AE205" s="16"/>
      <c r="AF205" s="52">
        <v>1</v>
      </c>
      <c r="AG205" s="58" t="s">
        <v>86</v>
      </c>
    </row>
    <row r="206" s="1" customFormat="1" ht="33.75" hidden="1" spans="1:33">
      <c r="A206" s="10">
        <v>201</v>
      </c>
      <c r="B206" s="16" t="s">
        <v>7</v>
      </c>
      <c r="C206" s="97" t="s">
        <v>545</v>
      </c>
      <c r="D206" s="97" t="s">
        <v>550</v>
      </c>
      <c r="E206" s="16" t="s">
        <v>551</v>
      </c>
      <c r="F206" s="23" t="s">
        <v>551</v>
      </c>
      <c r="G206" s="23" t="s">
        <v>552</v>
      </c>
      <c r="H206" s="16"/>
      <c r="I206" s="101" t="s">
        <v>549</v>
      </c>
      <c r="J206" s="31" t="s">
        <v>83</v>
      </c>
      <c r="K206" s="24">
        <v>1</v>
      </c>
      <c r="L206" s="25">
        <v>64</v>
      </c>
      <c r="M206" s="23">
        <v>2</v>
      </c>
      <c r="N206" s="26" t="s">
        <v>89</v>
      </c>
      <c r="O206" s="102" t="s">
        <v>27</v>
      </c>
      <c r="P206" s="25">
        <v>19.2</v>
      </c>
      <c r="Q206" s="16" t="s">
        <v>85</v>
      </c>
      <c r="R206" s="42"/>
      <c r="S206" s="42"/>
      <c r="T206" s="42"/>
      <c r="U206" s="42"/>
      <c r="V206" s="42"/>
      <c r="W206" s="42"/>
      <c r="X206" s="42"/>
      <c r="Y206" s="42"/>
      <c r="Z206" s="42"/>
      <c r="AA206" s="42"/>
      <c r="AB206" s="42"/>
      <c r="AC206" s="51"/>
      <c r="AD206" s="104"/>
      <c r="AE206" s="16"/>
      <c r="AF206" s="52">
        <v>1</v>
      </c>
      <c r="AG206" s="58" t="s">
        <v>86</v>
      </c>
    </row>
    <row r="207" s="1" customFormat="1" ht="22.5" hidden="1" spans="1:33">
      <c r="A207" s="10">
        <v>202</v>
      </c>
      <c r="B207" s="16" t="s">
        <v>7</v>
      </c>
      <c r="C207" s="16" t="s">
        <v>553</v>
      </c>
      <c r="D207" s="97" t="s">
        <v>153</v>
      </c>
      <c r="E207" s="97" t="s">
        <v>554</v>
      </c>
      <c r="F207" s="16" t="s">
        <v>554</v>
      </c>
      <c r="G207" s="23" t="s">
        <v>192</v>
      </c>
      <c r="H207" s="16"/>
      <c r="I207" s="101" t="s">
        <v>82</v>
      </c>
      <c r="J207" s="31" t="s">
        <v>83</v>
      </c>
      <c r="K207" s="24">
        <v>30</v>
      </c>
      <c r="L207" s="25">
        <v>1110</v>
      </c>
      <c r="M207" s="16">
        <v>5</v>
      </c>
      <c r="N207" s="23" t="s">
        <v>89</v>
      </c>
      <c r="O207" s="102" t="s">
        <v>21</v>
      </c>
      <c r="P207" s="25">
        <v>166.5</v>
      </c>
      <c r="Q207" s="16" t="s">
        <v>85</v>
      </c>
      <c r="R207" s="42"/>
      <c r="S207" s="42"/>
      <c r="T207" s="42"/>
      <c r="U207" s="42"/>
      <c r="V207" s="42"/>
      <c r="W207" s="42"/>
      <c r="X207" s="42"/>
      <c r="Y207" s="42"/>
      <c r="Z207" s="42"/>
      <c r="AA207" s="42"/>
      <c r="AB207" s="42"/>
      <c r="AC207" s="51"/>
      <c r="AD207" s="52"/>
      <c r="AE207" s="16"/>
      <c r="AF207" s="52">
        <v>1</v>
      </c>
      <c r="AG207" s="58" t="s">
        <v>86</v>
      </c>
    </row>
    <row r="208" s="1" customFormat="1" ht="22.5" hidden="1" spans="1:33">
      <c r="A208" s="10">
        <v>203</v>
      </c>
      <c r="B208" s="16" t="s">
        <v>7</v>
      </c>
      <c r="C208" s="16" t="s">
        <v>553</v>
      </c>
      <c r="D208" s="97" t="s">
        <v>153</v>
      </c>
      <c r="E208" s="97" t="s">
        <v>555</v>
      </c>
      <c r="F208" s="16" t="s">
        <v>555</v>
      </c>
      <c r="G208" s="23" t="s">
        <v>192</v>
      </c>
      <c r="H208" s="16"/>
      <c r="I208" s="101" t="s">
        <v>82</v>
      </c>
      <c r="J208" s="31" t="s">
        <v>83</v>
      </c>
      <c r="K208" s="24">
        <v>47</v>
      </c>
      <c r="L208" s="25">
        <v>1645</v>
      </c>
      <c r="M208" s="16">
        <v>6</v>
      </c>
      <c r="N208" s="23" t="s">
        <v>89</v>
      </c>
      <c r="O208" s="102" t="s">
        <v>21</v>
      </c>
      <c r="P208" s="25">
        <v>246.75</v>
      </c>
      <c r="Q208" s="16" t="s">
        <v>85</v>
      </c>
      <c r="R208" s="42"/>
      <c r="S208" s="42"/>
      <c r="T208" s="42"/>
      <c r="U208" s="42"/>
      <c r="V208" s="42"/>
      <c r="W208" s="42"/>
      <c r="X208" s="42"/>
      <c r="Y208" s="42"/>
      <c r="Z208" s="42"/>
      <c r="AA208" s="42"/>
      <c r="AB208" s="42"/>
      <c r="AC208" s="51"/>
      <c r="AD208" s="104"/>
      <c r="AE208" s="16"/>
      <c r="AF208" s="52">
        <v>1</v>
      </c>
      <c r="AG208" s="58" t="s">
        <v>86</v>
      </c>
    </row>
    <row r="209" s="1" customFormat="1" ht="22.5" hidden="1" spans="1:33">
      <c r="A209" s="10">
        <v>204</v>
      </c>
      <c r="B209" s="16" t="s">
        <v>7</v>
      </c>
      <c r="C209" s="16" t="s">
        <v>553</v>
      </c>
      <c r="D209" s="97" t="s">
        <v>153</v>
      </c>
      <c r="E209" s="97" t="s">
        <v>556</v>
      </c>
      <c r="F209" s="16" t="s">
        <v>556</v>
      </c>
      <c r="G209" s="23" t="s">
        <v>192</v>
      </c>
      <c r="H209" s="16"/>
      <c r="I209" s="101" t="s">
        <v>82</v>
      </c>
      <c r="J209" s="31" t="s">
        <v>83</v>
      </c>
      <c r="K209" s="24">
        <v>30</v>
      </c>
      <c r="L209" s="25">
        <v>1829.8</v>
      </c>
      <c r="M209" s="16">
        <v>5</v>
      </c>
      <c r="N209" s="23" t="s">
        <v>89</v>
      </c>
      <c r="O209" s="102" t="s">
        <v>21</v>
      </c>
      <c r="P209" s="25">
        <v>274.47</v>
      </c>
      <c r="Q209" s="16" t="s">
        <v>85</v>
      </c>
      <c r="R209" s="42"/>
      <c r="S209" s="42"/>
      <c r="T209" s="42"/>
      <c r="U209" s="42"/>
      <c r="V209" s="42"/>
      <c r="W209" s="42"/>
      <c r="X209" s="42"/>
      <c r="Y209" s="42"/>
      <c r="Z209" s="42"/>
      <c r="AA209" s="42"/>
      <c r="AB209" s="42"/>
      <c r="AC209" s="51"/>
      <c r="AD209" s="104"/>
      <c r="AE209" s="16"/>
      <c r="AF209" s="52">
        <v>1</v>
      </c>
      <c r="AG209" s="58" t="s">
        <v>86</v>
      </c>
    </row>
    <row r="210" s="1" customFormat="1" ht="22.5" hidden="1" spans="1:33">
      <c r="A210" s="10">
        <v>205</v>
      </c>
      <c r="B210" s="16" t="s">
        <v>7</v>
      </c>
      <c r="C210" s="16" t="s">
        <v>553</v>
      </c>
      <c r="D210" s="97" t="s">
        <v>153</v>
      </c>
      <c r="E210" s="97" t="s">
        <v>557</v>
      </c>
      <c r="F210" s="16" t="s">
        <v>557</v>
      </c>
      <c r="G210" s="23" t="s">
        <v>192</v>
      </c>
      <c r="H210" s="16"/>
      <c r="I210" s="101" t="s">
        <v>82</v>
      </c>
      <c r="J210" s="31" t="s">
        <v>83</v>
      </c>
      <c r="K210" s="24">
        <v>30</v>
      </c>
      <c r="L210" s="25">
        <v>1829.8</v>
      </c>
      <c r="M210" s="16">
        <v>5</v>
      </c>
      <c r="N210" s="16" t="s">
        <v>89</v>
      </c>
      <c r="O210" s="102" t="s">
        <v>21</v>
      </c>
      <c r="P210" s="25">
        <v>274.47</v>
      </c>
      <c r="Q210" s="16" t="s">
        <v>85</v>
      </c>
      <c r="R210" s="42"/>
      <c r="S210" s="42"/>
      <c r="T210" s="42"/>
      <c r="U210" s="42"/>
      <c r="V210" s="42"/>
      <c r="W210" s="42"/>
      <c r="X210" s="42"/>
      <c r="Y210" s="42"/>
      <c r="Z210" s="42"/>
      <c r="AA210" s="42"/>
      <c r="AB210" s="42"/>
      <c r="AC210" s="51"/>
      <c r="AD210" s="104"/>
      <c r="AE210" s="16"/>
      <c r="AF210" s="52">
        <v>1</v>
      </c>
      <c r="AG210" s="58" t="s">
        <v>86</v>
      </c>
    </row>
    <row r="211" s="1" customFormat="1" ht="22.5" hidden="1" spans="1:33">
      <c r="A211" s="10">
        <v>206</v>
      </c>
      <c r="B211" s="16" t="s">
        <v>7</v>
      </c>
      <c r="C211" s="16" t="s">
        <v>553</v>
      </c>
      <c r="D211" s="97" t="s">
        <v>153</v>
      </c>
      <c r="E211" s="97" t="s">
        <v>558</v>
      </c>
      <c r="F211" s="16" t="s">
        <v>558</v>
      </c>
      <c r="G211" s="23" t="s">
        <v>192</v>
      </c>
      <c r="H211" s="16"/>
      <c r="I211" s="101" t="s">
        <v>82</v>
      </c>
      <c r="J211" s="31" t="s">
        <v>83</v>
      </c>
      <c r="K211" s="24">
        <v>30</v>
      </c>
      <c r="L211" s="25">
        <v>1829.8</v>
      </c>
      <c r="M211" s="16">
        <v>5</v>
      </c>
      <c r="N211" s="16" t="s">
        <v>89</v>
      </c>
      <c r="O211" s="102" t="s">
        <v>21</v>
      </c>
      <c r="P211" s="25">
        <v>274.47</v>
      </c>
      <c r="Q211" s="16" t="s">
        <v>85</v>
      </c>
      <c r="R211" s="42"/>
      <c r="S211" s="42"/>
      <c r="T211" s="42"/>
      <c r="U211" s="42"/>
      <c r="V211" s="42"/>
      <c r="W211" s="42"/>
      <c r="X211" s="42"/>
      <c r="Y211" s="42"/>
      <c r="Z211" s="42"/>
      <c r="AA211" s="42"/>
      <c r="AB211" s="42"/>
      <c r="AC211" s="51"/>
      <c r="AD211" s="104"/>
      <c r="AE211" s="16"/>
      <c r="AF211" s="52">
        <v>1</v>
      </c>
      <c r="AG211" s="58" t="s">
        <v>86</v>
      </c>
    </row>
    <row r="212" s="1" customFormat="1" ht="22.5" hidden="1" spans="1:33">
      <c r="A212" s="10">
        <v>207</v>
      </c>
      <c r="B212" s="16" t="s">
        <v>7</v>
      </c>
      <c r="C212" s="16" t="s">
        <v>553</v>
      </c>
      <c r="D212" s="97" t="s">
        <v>153</v>
      </c>
      <c r="E212" s="97" t="s">
        <v>559</v>
      </c>
      <c r="F212" s="16" t="s">
        <v>559</v>
      </c>
      <c r="G212" s="23" t="s">
        <v>192</v>
      </c>
      <c r="H212" s="16"/>
      <c r="I212" s="101" t="s">
        <v>82</v>
      </c>
      <c r="J212" s="31" t="s">
        <v>83</v>
      </c>
      <c r="K212" s="24">
        <v>36</v>
      </c>
      <c r="L212" s="25">
        <v>3024</v>
      </c>
      <c r="M212" s="16">
        <v>6</v>
      </c>
      <c r="N212" s="16" t="s">
        <v>89</v>
      </c>
      <c r="O212" s="102" t="s">
        <v>21</v>
      </c>
      <c r="P212" s="25">
        <v>453.6</v>
      </c>
      <c r="Q212" s="16" t="s">
        <v>85</v>
      </c>
      <c r="R212" s="42"/>
      <c r="S212" s="42"/>
      <c r="T212" s="42"/>
      <c r="U212" s="42"/>
      <c r="V212" s="42"/>
      <c r="W212" s="42"/>
      <c r="X212" s="42"/>
      <c r="Y212" s="42"/>
      <c r="Z212" s="42"/>
      <c r="AA212" s="42"/>
      <c r="AB212" s="42"/>
      <c r="AC212" s="51"/>
      <c r="AD212" s="104"/>
      <c r="AE212" s="16"/>
      <c r="AF212" s="52">
        <v>1</v>
      </c>
      <c r="AG212" s="58" t="s">
        <v>86</v>
      </c>
    </row>
    <row r="213" s="1" customFormat="1" ht="22.5" hidden="1" spans="1:33">
      <c r="A213" s="10">
        <v>208</v>
      </c>
      <c r="B213" s="16" t="s">
        <v>7</v>
      </c>
      <c r="C213" s="16" t="s">
        <v>553</v>
      </c>
      <c r="D213" s="97" t="s">
        <v>153</v>
      </c>
      <c r="E213" s="97" t="s">
        <v>560</v>
      </c>
      <c r="F213" s="16" t="s">
        <v>560</v>
      </c>
      <c r="G213" s="23" t="s">
        <v>192</v>
      </c>
      <c r="H213" s="16"/>
      <c r="I213" s="101" t="s">
        <v>82</v>
      </c>
      <c r="J213" s="31" t="s">
        <v>83</v>
      </c>
      <c r="K213" s="24">
        <v>30</v>
      </c>
      <c r="L213" s="25">
        <v>1837.5</v>
      </c>
      <c r="M213" s="16">
        <v>5</v>
      </c>
      <c r="N213" s="23" t="s">
        <v>89</v>
      </c>
      <c r="O213" s="102" t="s">
        <v>21</v>
      </c>
      <c r="P213" s="25">
        <v>275.62</v>
      </c>
      <c r="Q213" s="16" t="s">
        <v>85</v>
      </c>
      <c r="R213" s="42"/>
      <c r="S213" s="42"/>
      <c r="T213" s="42"/>
      <c r="U213" s="42"/>
      <c r="V213" s="42"/>
      <c r="W213" s="42"/>
      <c r="X213" s="42"/>
      <c r="Y213" s="42"/>
      <c r="Z213" s="42"/>
      <c r="AA213" s="42"/>
      <c r="AB213" s="42"/>
      <c r="AC213" s="51"/>
      <c r="AD213" s="52"/>
      <c r="AE213" s="16"/>
      <c r="AF213" s="52">
        <v>1</v>
      </c>
      <c r="AG213" s="58" t="s">
        <v>86</v>
      </c>
    </row>
    <row r="214" s="1" customFormat="1" ht="22.5" hidden="1" spans="1:33">
      <c r="A214" s="10">
        <v>209</v>
      </c>
      <c r="B214" s="16" t="s">
        <v>7</v>
      </c>
      <c r="C214" s="16" t="s">
        <v>553</v>
      </c>
      <c r="D214" s="97" t="s">
        <v>153</v>
      </c>
      <c r="E214" s="97" t="s">
        <v>561</v>
      </c>
      <c r="F214" s="16" t="s">
        <v>561</v>
      </c>
      <c r="G214" s="23" t="s">
        <v>192</v>
      </c>
      <c r="H214" s="16"/>
      <c r="I214" s="101" t="s">
        <v>82</v>
      </c>
      <c r="J214" s="31" t="s">
        <v>83</v>
      </c>
      <c r="K214" s="24">
        <v>30</v>
      </c>
      <c r="L214" s="25">
        <v>1837.5</v>
      </c>
      <c r="M214" s="16">
        <v>5</v>
      </c>
      <c r="N214" s="23" t="s">
        <v>89</v>
      </c>
      <c r="O214" s="102" t="s">
        <v>21</v>
      </c>
      <c r="P214" s="25">
        <v>275.62</v>
      </c>
      <c r="Q214" s="16" t="s">
        <v>85</v>
      </c>
      <c r="R214" s="42"/>
      <c r="S214" s="42"/>
      <c r="T214" s="42"/>
      <c r="U214" s="42"/>
      <c r="V214" s="42"/>
      <c r="W214" s="42"/>
      <c r="X214" s="42"/>
      <c r="Y214" s="42"/>
      <c r="Z214" s="42"/>
      <c r="AA214" s="42"/>
      <c r="AB214" s="42"/>
      <c r="AC214" s="51"/>
      <c r="AD214" s="52"/>
      <c r="AE214" s="16"/>
      <c r="AF214" s="52">
        <v>1</v>
      </c>
      <c r="AG214" s="58" t="s">
        <v>86</v>
      </c>
    </row>
    <row r="215" s="1" customFormat="1" ht="22.5" hidden="1" spans="1:33">
      <c r="A215" s="10">
        <v>210</v>
      </c>
      <c r="B215" s="16" t="s">
        <v>7</v>
      </c>
      <c r="C215" s="16" t="s">
        <v>553</v>
      </c>
      <c r="D215" s="97" t="s">
        <v>153</v>
      </c>
      <c r="E215" s="97" t="s">
        <v>562</v>
      </c>
      <c r="F215" s="16" t="s">
        <v>562</v>
      </c>
      <c r="G215" s="23" t="s">
        <v>192</v>
      </c>
      <c r="H215" s="16"/>
      <c r="I215" s="101" t="s">
        <v>82</v>
      </c>
      <c r="J215" s="31" t="s">
        <v>83</v>
      </c>
      <c r="K215" s="24">
        <v>30</v>
      </c>
      <c r="L215" s="25">
        <v>1454.15</v>
      </c>
      <c r="M215" s="16">
        <v>5</v>
      </c>
      <c r="N215" s="23" t="s">
        <v>89</v>
      </c>
      <c r="O215" s="102" t="s">
        <v>21</v>
      </c>
      <c r="P215" s="25">
        <v>218.12</v>
      </c>
      <c r="Q215" s="16" t="s">
        <v>85</v>
      </c>
      <c r="R215" s="42"/>
      <c r="S215" s="42"/>
      <c r="T215" s="42"/>
      <c r="U215" s="42"/>
      <c r="V215" s="42"/>
      <c r="W215" s="42"/>
      <c r="X215" s="42"/>
      <c r="Y215" s="42"/>
      <c r="Z215" s="42"/>
      <c r="AA215" s="42"/>
      <c r="AB215" s="42"/>
      <c r="AC215" s="51"/>
      <c r="AD215" s="52"/>
      <c r="AE215" s="16"/>
      <c r="AF215" s="52">
        <v>1</v>
      </c>
      <c r="AG215" s="58" t="s">
        <v>86</v>
      </c>
    </row>
    <row r="216" s="1" customFormat="1" ht="22.5" hidden="1" spans="1:33">
      <c r="A216" s="10">
        <v>211</v>
      </c>
      <c r="B216" s="16" t="s">
        <v>7</v>
      </c>
      <c r="C216" s="16" t="s">
        <v>553</v>
      </c>
      <c r="D216" s="97" t="s">
        <v>153</v>
      </c>
      <c r="E216" s="97" t="s">
        <v>563</v>
      </c>
      <c r="F216" s="16" t="s">
        <v>563</v>
      </c>
      <c r="G216" s="23" t="s">
        <v>192</v>
      </c>
      <c r="H216" s="16"/>
      <c r="I216" s="101" t="s">
        <v>82</v>
      </c>
      <c r="J216" s="31" t="s">
        <v>83</v>
      </c>
      <c r="K216" s="24">
        <v>30</v>
      </c>
      <c r="L216" s="25">
        <v>1454.15</v>
      </c>
      <c r="M216" s="16">
        <v>5</v>
      </c>
      <c r="N216" s="16" t="s">
        <v>89</v>
      </c>
      <c r="O216" s="102" t="s">
        <v>21</v>
      </c>
      <c r="P216" s="25">
        <v>218.12</v>
      </c>
      <c r="Q216" s="16" t="s">
        <v>85</v>
      </c>
      <c r="R216" s="42"/>
      <c r="S216" s="42"/>
      <c r="T216" s="42"/>
      <c r="U216" s="42"/>
      <c r="V216" s="42"/>
      <c r="W216" s="42"/>
      <c r="X216" s="42"/>
      <c r="Y216" s="42"/>
      <c r="Z216" s="42"/>
      <c r="AA216" s="42"/>
      <c r="AB216" s="42"/>
      <c r="AC216" s="51"/>
      <c r="AD216" s="52"/>
      <c r="AE216" s="16"/>
      <c r="AF216" s="52">
        <v>1</v>
      </c>
      <c r="AG216" s="58" t="s">
        <v>86</v>
      </c>
    </row>
    <row r="217" s="1" customFormat="1" ht="22.5" hidden="1" spans="1:33">
      <c r="A217" s="10">
        <v>212</v>
      </c>
      <c r="B217" s="16" t="s">
        <v>7</v>
      </c>
      <c r="C217" s="16" t="s">
        <v>553</v>
      </c>
      <c r="D217" s="97" t="s">
        <v>153</v>
      </c>
      <c r="E217" s="97" t="s">
        <v>564</v>
      </c>
      <c r="F217" s="16" t="s">
        <v>564</v>
      </c>
      <c r="G217" s="23" t="s">
        <v>192</v>
      </c>
      <c r="H217" s="16"/>
      <c r="I217" s="101" t="s">
        <v>82</v>
      </c>
      <c r="J217" s="31" t="s">
        <v>83</v>
      </c>
      <c r="K217" s="24">
        <v>30</v>
      </c>
      <c r="L217" s="25">
        <v>1454.15</v>
      </c>
      <c r="M217" s="16">
        <v>5</v>
      </c>
      <c r="N217" s="16" t="s">
        <v>89</v>
      </c>
      <c r="O217" s="102" t="s">
        <v>21</v>
      </c>
      <c r="P217" s="25">
        <v>218.12</v>
      </c>
      <c r="Q217" s="16" t="s">
        <v>85</v>
      </c>
      <c r="R217" s="42"/>
      <c r="S217" s="42"/>
      <c r="T217" s="42"/>
      <c r="U217" s="42"/>
      <c r="V217" s="42"/>
      <c r="W217" s="42"/>
      <c r="X217" s="42"/>
      <c r="Y217" s="42"/>
      <c r="Z217" s="42"/>
      <c r="AA217" s="42"/>
      <c r="AB217" s="42"/>
      <c r="AC217" s="51"/>
      <c r="AD217" s="52"/>
      <c r="AE217" s="16"/>
      <c r="AF217" s="52">
        <v>1</v>
      </c>
      <c r="AG217" s="58" t="s">
        <v>86</v>
      </c>
    </row>
    <row r="218" s="1" customFormat="1" ht="22.5" hidden="1" spans="1:33">
      <c r="A218" s="10">
        <v>213</v>
      </c>
      <c r="B218" s="16" t="s">
        <v>7</v>
      </c>
      <c r="C218" s="16" t="s">
        <v>553</v>
      </c>
      <c r="D218" s="97" t="s">
        <v>153</v>
      </c>
      <c r="E218" s="97" t="s">
        <v>565</v>
      </c>
      <c r="F218" s="16" t="s">
        <v>565</v>
      </c>
      <c r="G218" s="23" t="s">
        <v>192</v>
      </c>
      <c r="H218" s="16"/>
      <c r="I218" s="101" t="s">
        <v>82</v>
      </c>
      <c r="J218" s="31" t="s">
        <v>83</v>
      </c>
      <c r="K218" s="24">
        <v>30</v>
      </c>
      <c r="L218" s="25">
        <v>1454.15</v>
      </c>
      <c r="M218" s="16">
        <v>5</v>
      </c>
      <c r="N218" s="16" t="s">
        <v>89</v>
      </c>
      <c r="O218" s="102" t="s">
        <v>21</v>
      </c>
      <c r="P218" s="25">
        <v>218.12</v>
      </c>
      <c r="Q218" s="16" t="s">
        <v>85</v>
      </c>
      <c r="R218" s="42"/>
      <c r="S218" s="42"/>
      <c r="T218" s="42"/>
      <c r="U218" s="42"/>
      <c r="V218" s="42"/>
      <c r="W218" s="42"/>
      <c r="X218" s="42"/>
      <c r="Y218" s="42"/>
      <c r="Z218" s="42"/>
      <c r="AA218" s="42"/>
      <c r="AB218" s="42"/>
      <c r="AC218" s="51"/>
      <c r="AD218" s="52"/>
      <c r="AE218" s="16"/>
      <c r="AF218" s="52">
        <v>1</v>
      </c>
      <c r="AG218" s="58" t="s">
        <v>86</v>
      </c>
    </row>
    <row r="219" s="1" customFormat="1" ht="22.5" hidden="1" spans="1:33">
      <c r="A219" s="10">
        <v>214</v>
      </c>
      <c r="B219" s="16" t="s">
        <v>7</v>
      </c>
      <c r="C219" s="16" t="s">
        <v>553</v>
      </c>
      <c r="D219" s="97" t="s">
        <v>153</v>
      </c>
      <c r="E219" s="97" t="s">
        <v>566</v>
      </c>
      <c r="F219" s="16" t="s">
        <v>566</v>
      </c>
      <c r="G219" s="23" t="s">
        <v>192</v>
      </c>
      <c r="H219" s="16"/>
      <c r="I219" s="101" t="s">
        <v>82</v>
      </c>
      <c r="J219" s="31" t="s">
        <v>83</v>
      </c>
      <c r="K219" s="24">
        <v>30</v>
      </c>
      <c r="L219" s="25">
        <v>2440</v>
      </c>
      <c r="M219" s="16">
        <v>5</v>
      </c>
      <c r="N219" s="23" t="s">
        <v>89</v>
      </c>
      <c r="O219" s="102" t="s">
        <v>21</v>
      </c>
      <c r="P219" s="25">
        <v>366</v>
      </c>
      <c r="Q219" s="16" t="s">
        <v>85</v>
      </c>
      <c r="R219" s="42"/>
      <c r="S219" s="42"/>
      <c r="T219" s="42"/>
      <c r="U219" s="42"/>
      <c r="V219" s="42"/>
      <c r="W219" s="42"/>
      <c r="X219" s="42"/>
      <c r="Y219" s="42"/>
      <c r="Z219" s="42"/>
      <c r="AA219" s="42"/>
      <c r="AB219" s="42"/>
      <c r="AC219" s="51"/>
      <c r="AD219" s="52"/>
      <c r="AE219" s="16"/>
      <c r="AF219" s="52">
        <v>1</v>
      </c>
      <c r="AG219" s="58" t="s">
        <v>86</v>
      </c>
    </row>
    <row r="220" s="1" customFormat="1" ht="22.5" hidden="1" spans="1:33">
      <c r="A220" s="10">
        <v>215</v>
      </c>
      <c r="B220" s="16" t="s">
        <v>7</v>
      </c>
      <c r="C220" s="16" t="s">
        <v>553</v>
      </c>
      <c r="D220" s="97" t="s">
        <v>153</v>
      </c>
      <c r="E220" s="97" t="s">
        <v>567</v>
      </c>
      <c r="F220" s="16" t="s">
        <v>567</v>
      </c>
      <c r="G220" s="23" t="s">
        <v>192</v>
      </c>
      <c r="H220" s="16"/>
      <c r="I220" s="101" t="s">
        <v>82</v>
      </c>
      <c r="J220" s="31" t="s">
        <v>83</v>
      </c>
      <c r="K220" s="24">
        <v>30</v>
      </c>
      <c r="L220" s="25">
        <v>3421.56</v>
      </c>
      <c r="M220" s="16">
        <v>5</v>
      </c>
      <c r="N220" s="23" t="s">
        <v>89</v>
      </c>
      <c r="O220" s="102" t="s">
        <v>21</v>
      </c>
      <c r="P220" s="25">
        <v>513.23</v>
      </c>
      <c r="Q220" s="16" t="s">
        <v>85</v>
      </c>
      <c r="R220" s="42"/>
      <c r="S220" s="42"/>
      <c r="T220" s="42"/>
      <c r="U220" s="42"/>
      <c r="V220" s="42"/>
      <c r="W220" s="42"/>
      <c r="X220" s="42"/>
      <c r="Y220" s="42"/>
      <c r="Z220" s="42"/>
      <c r="AA220" s="42"/>
      <c r="AB220" s="42"/>
      <c r="AC220" s="51"/>
      <c r="AD220" s="52"/>
      <c r="AE220" s="16"/>
      <c r="AF220" s="52">
        <v>1</v>
      </c>
      <c r="AG220" s="58" t="s">
        <v>86</v>
      </c>
    </row>
    <row r="221" s="1" customFormat="1" ht="22.5" hidden="1" spans="1:33">
      <c r="A221" s="10">
        <v>216</v>
      </c>
      <c r="B221" s="16" t="s">
        <v>7</v>
      </c>
      <c r="C221" s="16" t="s">
        <v>553</v>
      </c>
      <c r="D221" s="97" t="s">
        <v>153</v>
      </c>
      <c r="E221" s="97" t="s">
        <v>568</v>
      </c>
      <c r="F221" s="16" t="s">
        <v>568</v>
      </c>
      <c r="G221" s="23" t="s">
        <v>192</v>
      </c>
      <c r="H221" s="16"/>
      <c r="I221" s="101" t="s">
        <v>82</v>
      </c>
      <c r="J221" s="31" t="s">
        <v>83</v>
      </c>
      <c r="K221" s="24">
        <v>30</v>
      </c>
      <c r="L221" s="25">
        <v>2443.75</v>
      </c>
      <c r="M221" s="16">
        <v>5</v>
      </c>
      <c r="N221" s="23" t="s">
        <v>89</v>
      </c>
      <c r="O221" s="102" t="s">
        <v>21</v>
      </c>
      <c r="P221" s="25">
        <v>366.56</v>
      </c>
      <c r="Q221" s="16" t="s">
        <v>85</v>
      </c>
      <c r="R221" s="42"/>
      <c r="S221" s="42"/>
      <c r="T221" s="42"/>
      <c r="U221" s="42"/>
      <c r="V221" s="42"/>
      <c r="W221" s="42"/>
      <c r="X221" s="42"/>
      <c r="Y221" s="42"/>
      <c r="Z221" s="42"/>
      <c r="AA221" s="42"/>
      <c r="AB221" s="42"/>
      <c r="AC221" s="51"/>
      <c r="AD221" s="52"/>
      <c r="AE221" s="16"/>
      <c r="AF221" s="52">
        <v>1</v>
      </c>
      <c r="AG221" s="58" t="s">
        <v>86</v>
      </c>
    </row>
    <row r="222" s="1" customFormat="1" ht="22.5" hidden="1" spans="1:33">
      <c r="A222" s="10">
        <v>217</v>
      </c>
      <c r="B222" s="16" t="s">
        <v>7</v>
      </c>
      <c r="C222" s="16" t="s">
        <v>553</v>
      </c>
      <c r="D222" s="97" t="s">
        <v>153</v>
      </c>
      <c r="E222" s="97" t="s">
        <v>569</v>
      </c>
      <c r="F222" s="16" t="s">
        <v>569</v>
      </c>
      <c r="G222" s="23" t="s">
        <v>192</v>
      </c>
      <c r="H222" s="16"/>
      <c r="I222" s="101" t="s">
        <v>82</v>
      </c>
      <c r="J222" s="31" t="s">
        <v>83</v>
      </c>
      <c r="K222" s="24">
        <v>30</v>
      </c>
      <c r="L222" s="25">
        <v>1732.5</v>
      </c>
      <c r="M222" s="16">
        <v>5</v>
      </c>
      <c r="N222" s="16" t="s">
        <v>89</v>
      </c>
      <c r="O222" s="102" t="s">
        <v>21</v>
      </c>
      <c r="P222" s="25">
        <v>259.87</v>
      </c>
      <c r="Q222" s="16" t="s">
        <v>85</v>
      </c>
      <c r="R222" s="42"/>
      <c r="S222" s="42"/>
      <c r="T222" s="42"/>
      <c r="U222" s="42"/>
      <c r="V222" s="42"/>
      <c r="W222" s="42"/>
      <c r="X222" s="42"/>
      <c r="Y222" s="42"/>
      <c r="Z222" s="42"/>
      <c r="AA222" s="42"/>
      <c r="AB222" s="42"/>
      <c r="AC222" s="51"/>
      <c r="AD222" s="52"/>
      <c r="AE222" s="16"/>
      <c r="AF222" s="52">
        <v>1</v>
      </c>
      <c r="AG222" s="58" t="s">
        <v>86</v>
      </c>
    </row>
    <row r="223" s="1" customFormat="1" ht="22.5" hidden="1" spans="1:33">
      <c r="A223" s="10">
        <v>218</v>
      </c>
      <c r="B223" s="16" t="s">
        <v>7</v>
      </c>
      <c r="C223" s="16" t="s">
        <v>553</v>
      </c>
      <c r="D223" s="97" t="s">
        <v>153</v>
      </c>
      <c r="E223" s="97" t="s">
        <v>570</v>
      </c>
      <c r="F223" s="16" t="s">
        <v>570</v>
      </c>
      <c r="G223" s="23" t="s">
        <v>192</v>
      </c>
      <c r="H223" s="16"/>
      <c r="I223" s="101" t="s">
        <v>82</v>
      </c>
      <c r="J223" s="31" t="s">
        <v>83</v>
      </c>
      <c r="K223" s="24">
        <v>30</v>
      </c>
      <c r="L223" s="25">
        <v>1830</v>
      </c>
      <c r="M223" s="16">
        <v>5</v>
      </c>
      <c r="N223" s="16" t="s">
        <v>89</v>
      </c>
      <c r="O223" s="102" t="s">
        <v>21</v>
      </c>
      <c r="P223" s="25">
        <v>274.5</v>
      </c>
      <c r="Q223" s="16" t="s">
        <v>85</v>
      </c>
      <c r="R223" s="42"/>
      <c r="S223" s="42"/>
      <c r="T223" s="42"/>
      <c r="U223" s="42"/>
      <c r="V223" s="42"/>
      <c r="W223" s="42"/>
      <c r="X223" s="42"/>
      <c r="Y223" s="42"/>
      <c r="Z223" s="42"/>
      <c r="AA223" s="42"/>
      <c r="AB223" s="42"/>
      <c r="AC223" s="51"/>
      <c r="AD223" s="52"/>
      <c r="AE223" s="16"/>
      <c r="AF223" s="52">
        <v>1</v>
      </c>
      <c r="AG223" s="58" t="s">
        <v>86</v>
      </c>
    </row>
    <row r="224" s="1" customFormat="1" ht="22.5" hidden="1" spans="1:33">
      <c r="A224" s="10">
        <v>219</v>
      </c>
      <c r="B224" s="16" t="s">
        <v>7</v>
      </c>
      <c r="C224" s="16" t="s">
        <v>553</v>
      </c>
      <c r="D224" s="97" t="s">
        <v>153</v>
      </c>
      <c r="E224" s="97" t="s">
        <v>571</v>
      </c>
      <c r="F224" s="16" t="s">
        <v>571</v>
      </c>
      <c r="G224" s="23" t="s">
        <v>192</v>
      </c>
      <c r="H224" s="16"/>
      <c r="I224" s="101" t="s">
        <v>82</v>
      </c>
      <c r="J224" s="31" t="s">
        <v>83</v>
      </c>
      <c r="K224" s="24">
        <v>28</v>
      </c>
      <c r="L224" s="25">
        <v>771.12</v>
      </c>
      <c r="M224" s="16">
        <v>4</v>
      </c>
      <c r="N224" s="16" t="s">
        <v>89</v>
      </c>
      <c r="O224" s="102" t="s">
        <v>21</v>
      </c>
      <c r="P224" s="25">
        <v>115.66</v>
      </c>
      <c r="Q224" s="16" t="s">
        <v>85</v>
      </c>
      <c r="R224" s="42"/>
      <c r="S224" s="42"/>
      <c r="T224" s="42"/>
      <c r="U224" s="42"/>
      <c r="V224" s="42"/>
      <c r="W224" s="42"/>
      <c r="X224" s="42"/>
      <c r="Y224" s="42"/>
      <c r="Z224" s="42"/>
      <c r="AA224" s="42"/>
      <c r="AB224" s="42"/>
      <c r="AC224" s="51"/>
      <c r="AD224" s="52"/>
      <c r="AE224" s="16"/>
      <c r="AF224" s="52">
        <v>1</v>
      </c>
      <c r="AG224" s="58" t="s">
        <v>86</v>
      </c>
    </row>
    <row r="225" s="1" customFormat="1" ht="45" hidden="1" spans="1:33">
      <c r="A225" s="10">
        <v>220</v>
      </c>
      <c r="B225" s="16" t="s">
        <v>7</v>
      </c>
      <c r="C225" s="98" t="s">
        <v>572</v>
      </c>
      <c r="D225" s="98" t="s">
        <v>573</v>
      </c>
      <c r="E225" s="16" t="s">
        <v>574</v>
      </c>
      <c r="F225" s="16" t="s">
        <v>574</v>
      </c>
      <c r="G225" s="16" t="s">
        <v>107</v>
      </c>
      <c r="H225" s="99" t="s">
        <v>575</v>
      </c>
      <c r="I225" s="101" t="s">
        <v>177</v>
      </c>
      <c r="J225" s="31" t="s">
        <v>109</v>
      </c>
      <c r="K225" s="24">
        <v>8</v>
      </c>
      <c r="L225" s="25">
        <v>317.14</v>
      </c>
      <c r="M225" s="16">
        <v>2</v>
      </c>
      <c r="N225" s="16" t="s">
        <v>84</v>
      </c>
      <c r="O225" s="18" t="s">
        <v>21</v>
      </c>
      <c r="P225" s="25">
        <v>50.7424</v>
      </c>
      <c r="Q225" s="95" t="s">
        <v>85</v>
      </c>
      <c r="R225" s="42"/>
      <c r="S225" s="42"/>
      <c r="T225" s="42"/>
      <c r="U225" s="42"/>
      <c r="V225" s="42"/>
      <c r="W225" s="42"/>
      <c r="X225" s="42"/>
      <c r="Y225" s="42"/>
      <c r="Z225" s="42"/>
      <c r="AA225" s="42"/>
      <c r="AB225" s="42"/>
      <c r="AC225" s="51"/>
      <c r="AD225" s="52"/>
      <c r="AE225" s="16"/>
      <c r="AF225" s="52">
        <v>1</v>
      </c>
      <c r="AG225" s="58" t="s">
        <v>85</v>
      </c>
    </row>
    <row r="226" s="1" customFormat="1" ht="33.75" hidden="1" spans="1:33">
      <c r="A226" s="10">
        <v>221</v>
      </c>
      <c r="B226" s="16" t="s">
        <v>7</v>
      </c>
      <c r="C226" s="98" t="s">
        <v>572</v>
      </c>
      <c r="D226" s="98" t="s">
        <v>576</v>
      </c>
      <c r="E226" s="16" t="s">
        <v>577</v>
      </c>
      <c r="F226" s="16" t="s">
        <v>577</v>
      </c>
      <c r="G226" s="16" t="s">
        <v>107</v>
      </c>
      <c r="H226" s="99" t="s">
        <v>118</v>
      </c>
      <c r="I226" s="101" t="s">
        <v>177</v>
      </c>
      <c r="J226" s="31" t="s">
        <v>109</v>
      </c>
      <c r="K226" s="24">
        <v>1</v>
      </c>
      <c r="L226" s="25">
        <v>38.15</v>
      </c>
      <c r="M226" s="16">
        <v>2</v>
      </c>
      <c r="N226" s="95" t="s">
        <v>89</v>
      </c>
      <c r="O226" s="18" t="s">
        <v>21</v>
      </c>
      <c r="P226" s="25">
        <v>6.104</v>
      </c>
      <c r="Q226" s="95" t="s">
        <v>85</v>
      </c>
      <c r="R226" s="42"/>
      <c r="S226" s="42"/>
      <c r="T226" s="42"/>
      <c r="U226" s="42"/>
      <c r="V226" s="42"/>
      <c r="W226" s="42"/>
      <c r="X226" s="42"/>
      <c r="Y226" s="42"/>
      <c r="Z226" s="42"/>
      <c r="AA226" s="42"/>
      <c r="AB226" s="42"/>
      <c r="AC226" s="51"/>
      <c r="AD226" s="52"/>
      <c r="AE226" s="16"/>
      <c r="AF226" s="52">
        <v>1</v>
      </c>
      <c r="AG226" s="58" t="s">
        <v>85</v>
      </c>
    </row>
    <row r="227" s="1" customFormat="1" ht="33.75" hidden="1" spans="1:33">
      <c r="A227" s="10">
        <v>222</v>
      </c>
      <c r="B227" s="16" t="s">
        <v>7</v>
      </c>
      <c r="C227" s="98" t="s">
        <v>572</v>
      </c>
      <c r="D227" s="98" t="s">
        <v>576</v>
      </c>
      <c r="E227" s="16" t="s">
        <v>578</v>
      </c>
      <c r="F227" s="16" t="s">
        <v>578</v>
      </c>
      <c r="G227" s="16" t="s">
        <v>107</v>
      </c>
      <c r="H227" s="99" t="s">
        <v>118</v>
      </c>
      <c r="I227" s="101" t="s">
        <v>177</v>
      </c>
      <c r="J227" s="31" t="s">
        <v>109</v>
      </c>
      <c r="K227" s="24">
        <v>1</v>
      </c>
      <c r="L227" s="25">
        <v>38.11</v>
      </c>
      <c r="M227" s="16">
        <v>2</v>
      </c>
      <c r="N227" s="95" t="s">
        <v>89</v>
      </c>
      <c r="O227" s="18" t="s">
        <v>21</v>
      </c>
      <c r="P227" s="25">
        <v>6.0976</v>
      </c>
      <c r="Q227" s="95" t="s">
        <v>85</v>
      </c>
      <c r="R227" s="42"/>
      <c r="S227" s="42"/>
      <c r="T227" s="42"/>
      <c r="U227" s="42"/>
      <c r="V227" s="42"/>
      <c r="W227" s="42"/>
      <c r="X227" s="42"/>
      <c r="Y227" s="42"/>
      <c r="Z227" s="42"/>
      <c r="AA227" s="42"/>
      <c r="AB227" s="42"/>
      <c r="AC227" s="51"/>
      <c r="AD227" s="52"/>
      <c r="AE227" s="16" t="s">
        <v>104</v>
      </c>
      <c r="AF227" s="52">
        <v>1</v>
      </c>
      <c r="AG227" s="58" t="s">
        <v>85</v>
      </c>
    </row>
    <row r="228" s="1" customFormat="1" ht="33.75" hidden="1" spans="1:33">
      <c r="A228" s="10">
        <v>223</v>
      </c>
      <c r="B228" s="16" t="s">
        <v>7</v>
      </c>
      <c r="C228" s="98" t="s">
        <v>572</v>
      </c>
      <c r="D228" s="98" t="s">
        <v>576</v>
      </c>
      <c r="E228" s="16" t="s">
        <v>579</v>
      </c>
      <c r="F228" s="16" t="s">
        <v>579</v>
      </c>
      <c r="G228" s="16" t="s">
        <v>107</v>
      </c>
      <c r="H228" s="99" t="s">
        <v>118</v>
      </c>
      <c r="I228" s="101" t="s">
        <v>177</v>
      </c>
      <c r="J228" s="31" t="s">
        <v>109</v>
      </c>
      <c r="K228" s="24">
        <v>1</v>
      </c>
      <c r="L228" s="25">
        <v>29</v>
      </c>
      <c r="M228" s="16">
        <v>1</v>
      </c>
      <c r="N228" s="95" t="s">
        <v>89</v>
      </c>
      <c r="O228" s="18" t="s">
        <v>21</v>
      </c>
      <c r="P228" s="25">
        <v>4.64</v>
      </c>
      <c r="Q228" s="95" t="s">
        <v>85</v>
      </c>
      <c r="R228" s="42"/>
      <c r="S228" s="42"/>
      <c r="T228" s="42"/>
      <c r="U228" s="42"/>
      <c r="V228" s="42"/>
      <c r="W228" s="42"/>
      <c r="X228" s="42"/>
      <c r="Y228" s="42"/>
      <c r="Z228" s="42"/>
      <c r="AA228" s="42"/>
      <c r="AB228" s="42"/>
      <c r="AC228" s="51"/>
      <c r="AD228" s="52"/>
      <c r="AE228" s="16"/>
      <c r="AF228" s="52">
        <v>1</v>
      </c>
      <c r="AG228" s="58" t="s">
        <v>85</v>
      </c>
    </row>
    <row r="229" s="1" customFormat="1" ht="45" hidden="1" spans="1:33">
      <c r="A229" s="10">
        <v>224</v>
      </c>
      <c r="B229" s="16" t="s">
        <v>7</v>
      </c>
      <c r="C229" s="16" t="s">
        <v>580</v>
      </c>
      <c r="D229" s="16" t="s">
        <v>581</v>
      </c>
      <c r="E229" s="16" t="s">
        <v>582</v>
      </c>
      <c r="F229" s="16" t="s">
        <v>582</v>
      </c>
      <c r="G229" s="16" t="s">
        <v>107</v>
      </c>
      <c r="H229" s="99" t="s">
        <v>583</v>
      </c>
      <c r="I229" s="101" t="s">
        <v>177</v>
      </c>
      <c r="J229" s="31" t="s">
        <v>109</v>
      </c>
      <c r="K229" s="24">
        <v>1</v>
      </c>
      <c r="L229" s="25">
        <v>57.11</v>
      </c>
      <c r="M229" s="16">
        <v>1</v>
      </c>
      <c r="N229" s="95" t="s">
        <v>89</v>
      </c>
      <c r="O229" s="18" t="s">
        <v>21</v>
      </c>
      <c r="P229" s="25">
        <v>9.1376</v>
      </c>
      <c r="Q229" s="95" t="s">
        <v>85</v>
      </c>
      <c r="R229" s="42"/>
      <c r="S229" s="42"/>
      <c r="T229" s="42"/>
      <c r="U229" s="42"/>
      <c r="V229" s="42"/>
      <c r="W229" s="42"/>
      <c r="X229" s="42"/>
      <c r="Y229" s="42"/>
      <c r="Z229" s="42"/>
      <c r="AA229" s="42"/>
      <c r="AB229" s="42"/>
      <c r="AC229" s="51"/>
      <c r="AD229" s="104"/>
      <c r="AE229" s="16"/>
      <c r="AF229" s="52">
        <v>1</v>
      </c>
      <c r="AG229" s="58" t="s">
        <v>85</v>
      </c>
    </row>
    <row r="230" s="1" customFormat="1" ht="45" hidden="1" spans="1:33">
      <c r="A230" s="10">
        <v>225</v>
      </c>
      <c r="B230" s="16" t="s">
        <v>7</v>
      </c>
      <c r="C230" s="16" t="s">
        <v>580</v>
      </c>
      <c r="D230" s="16" t="s">
        <v>581</v>
      </c>
      <c r="E230" s="16" t="s">
        <v>584</v>
      </c>
      <c r="F230" s="16" t="s">
        <v>584</v>
      </c>
      <c r="G230" s="16" t="s">
        <v>107</v>
      </c>
      <c r="H230" s="99" t="s">
        <v>585</v>
      </c>
      <c r="I230" s="101" t="s">
        <v>177</v>
      </c>
      <c r="J230" s="31" t="s">
        <v>109</v>
      </c>
      <c r="K230" s="24">
        <v>1</v>
      </c>
      <c r="L230" s="25">
        <v>44.44</v>
      </c>
      <c r="M230" s="16">
        <v>1</v>
      </c>
      <c r="N230" s="95" t="s">
        <v>89</v>
      </c>
      <c r="O230" s="18" t="s">
        <v>21</v>
      </c>
      <c r="P230" s="25">
        <v>7.1104</v>
      </c>
      <c r="Q230" s="95" t="s">
        <v>85</v>
      </c>
      <c r="R230" s="42"/>
      <c r="S230" s="42"/>
      <c r="T230" s="42"/>
      <c r="U230" s="42"/>
      <c r="V230" s="42"/>
      <c r="W230" s="42"/>
      <c r="X230" s="42"/>
      <c r="Y230" s="42"/>
      <c r="Z230" s="42"/>
      <c r="AA230" s="42"/>
      <c r="AB230" s="42"/>
      <c r="AC230" s="51"/>
      <c r="AD230" s="104"/>
      <c r="AE230" s="16"/>
      <c r="AF230" s="52">
        <v>1</v>
      </c>
      <c r="AG230" s="58" t="s">
        <v>85</v>
      </c>
    </row>
    <row r="231" s="1" customFormat="1" ht="45" hidden="1" spans="1:33">
      <c r="A231" s="10">
        <v>226</v>
      </c>
      <c r="B231" s="16" t="s">
        <v>7</v>
      </c>
      <c r="C231" s="98" t="s">
        <v>580</v>
      </c>
      <c r="D231" s="98" t="s">
        <v>581</v>
      </c>
      <c r="E231" s="16" t="s">
        <v>586</v>
      </c>
      <c r="F231" s="16" t="s">
        <v>586</v>
      </c>
      <c r="G231" s="16" t="s">
        <v>107</v>
      </c>
      <c r="H231" s="99" t="s">
        <v>587</v>
      </c>
      <c r="I231" s="101" t="s">
        <v>177</v>
      </c>
      <c r="J231" s="31" t="s">
        <v>109</v>
      </c>
      <c r="K231" s="24">
        <v>1</v>
      </c>
      <c r="L231" s="25">
        <v>33.41</v>
      </c>
      <c r="M231" s="16">
        <v>1</v>
      </c>
      <c r="N231" s="95" t="s">
        <v>89</v>
      </c>
      <c r="O231" s="18" t="s">
        <v>21</v>
      </c>
      <c r="P231" s="25">
        <v>5.3456</v>
      </c>
      <c r="Q231" s="95" t="s">
        <v>85</v>
      </c>
      <c r="R231" s="42"/>
      <c r="S231" s="42"/>
      <c r="T231" s="42"/>
      <c r="U231" s="42"/>
      <c r="V231" s="42"/>
      <c r="W231" s="42"/>
      <c r="X231" s="42"/>
      <c r="Y231" s="42"/>
      <c r="Z231" s="42"/>
      <c r="AA231" s="42"/>
      <c r="AB231" s="42"/>
      <c r="AC231" s="51"/>
      <c r="AD231" s="52"/>
      <c r="AE231" s="16"/>
      <c r="AF231" s="52">
        <v>1</v>
      </c>
      <c r="AG231" s="58" t="s">
        <v>85</v>
      </c>
    </row>
    <row r="232" s="1" customFormat="1" ht="45" hidden="1" spans="1:33">
      <c r="A232" s="10">
        <v>227</v>
      </c>
      <c r="B232" s="16" t="s">
        <v>7</v>
      </c>
      <c r="C232" s="98" t="s">
        <v>580</v>
      </c>
      <c r="D232" s="98" t="s">
        <v>581</v>
      </c>
      <c r="E232" s="16" t="s">
        <v>588</v>
      </c>
      <c r="F232" s="16" t="s">
        <v>588</v>
      </c>
      <c r="G232" s="16" t="s">
        <v>107</v>
      </c>
      <c r="H232" s="99" t="s">
        <v>589</v>
      </c>
      <c r="I232" s="101" t="s">
        <v>177</v>
      </c>
      <c r="J232" s="31" t="s">
        <v>109</v>
      </c>
      <c r="K232" s="24">
        <v>2</v>
      </c>
      <c r="L232" s="25">
        <v>52.42</v>
      </c>
      <c r="M232" s="16">
        <v>2</v>
      </c>
      <c r="N232" s="95" t="s">
        <v>84</v>
      </c>
      <c r="O232" s="18" t="s">
        <v>27</v>
      </c>
      <c r="P232" s="25">
        <v>15.726</v>
      </c>
      <c r="Q232" s="95" t="s">
        <v>85</v>
      </c>
      <c r="R232" s="42"/>
      <c r="S232" s="42"/>
      <c r="T232" s="42"/>
      <c r="U232" s="42"/>
      <c r="V232" s="42"/>
      <c r="W232" s="42"/>
      <c r="X232" s="42"/>
      <c r="Y232" s="42"/>
      <c r="Z232" s="42"/>
      <c r="AA232" s="42"/>
      <c r="AB232" s="42"/>
      <c r="AC232" s="51"/>
      <c r="AD232" s="104"/>
      <c r="AE232" s="16"/>
      <c r="AF232" s="52">
        <v>1</v>
      </c>
      <c r="AG232" s="58" t="s">
        <v>85</v>
      </c>
    </row>
    <row r="233" s="1" customFormat="1" ht="33.75" hidden="1" spans="1:33">
      <c r="A233" s="10">
        <v>228</v>
      </c>
      <c r="B233" s="16" t="s">
        <v>7</v>
      </c>
      <c r="C233" s="98" t="s">
        <v>580</v>
      </c>
      <c r="D233" s="98" t="s">
        <v>581</v>
      </c>
      <c r="E233" s="16" t="s">
        <v>590</v>
      </c>
      <c r="F233" s="16" t="s">
        <v>590</v>
      </c>
      <c r="G233" s="16" t="s">
        <v>107</v>
      </c>
      <c r="H233" s="99" t="s">
        <v>118</v>
      </c>
      <c r="I233" s="101" t="s">
        <v>177</v>
      </c>
      <c r="J233" s="31" t="s">
        <v>109</v>
      </c>
      <c r="K233" s="24">
        <v>1</v>
      </c>
      <c r="L233" s="25">
        <v>30.32</v>
      </c>
      <c r="M233" s="16">
        <v>1</v>
      </c>
      <c r="N233" s="95" t="s">
        <v>89</v>
      </c>
      <c r="O233" s="18" t="s">
        <v>21</v>
      </c>
      <c r="P233" s="25">
        <v>4.8512</v>
      </c>
      <c r="Q233" s="95" t="s">
        <v>85</v>
      </c>
      <c r="R233" s="42"/>
      <c r="S233" s="42"/>
      <c r="T233" s="42"/>
      <c r="U233" s="42"/>
      <c r="V233" s="42"/>
      <c r="W233" s="42"/>
      <c r="X233" s="42"/>
      <c r="Y233" s="42"/>
      <c r="Z233" s="42"/>
      <c r="AA233" s="42"/>
      <c r="AB233" s="42"/>
      <c r="AC233" s="51"/>
      <c r="AD233" s="104"/>
      <c r="AE233" s="16"/>
      <c r="AF233" s="52">
        <v>1</v>
      </c>
      <c r="AG233" s="58" t="s">
        <v>85</v>
      </c>
    </row>
    <row r="234" s="1" customFormat="1" ht="33.75" hidden="1" spans="1:33">
      <c r="A234" s="10">
        <v>229</v>
      </c>
      <c r="B234" s="16" t="s">
        <v>7</v>
      </c>
      <c r="C234" s="98" t="s">
        <v>572</v>
      </c>
      <c r="D234" s="98" t="s">
        <v>591</v>
      </c>
      <c r="E234" s="16" t="s">
        <v>592</v>
      </c>
      <c r="F234" s="16" t="s">
        <v>592</v>
      </c>
      <c r="G234" s="16" t="s">
        <v>107</v>
      </c>
      <c r="H234" s="99" t="s">
        <v>118</v>
      </c>
      <c r="I234" s="101" t="s">
        <v>177</v>
      </c>
      <c r="J234" s="31" t="s">
        <v>109</v>
      </c>
      <c r="K234" s="24">
        <v>9</v>
      </c>
      <c r="L234" s="25">
        <v>317.68</v>
      </c>
      <c r="M234" s="16">
        <v>2</v>
      </c>
      <c r="N234" s="95" t="s">
        <v>84</v>
      </c>
      <c r="O234" s="18" t="s">
        <v>27</v>
      </c>
      <c r="P234" s="25">
        <v>95.304</v>
      </c>
      <c r="Q234" s="95" t="s">
        <v>85</v>
      </c>
      <c r="R234" s="42"/>
      <c r="S234" s="42"/>
      <c r="T234" s="42"/>
      <c r="U234" s="42"/>
      <c r="V234" s="42"/>
      <c r="W234" s="42"/>
      <c r="X234" s="42"/>
      <c r="Y234" s="42"/>
      <c r="Z234" s="42"/>
      <c r="AA234" s="42"/>
      <c r="AB234" s="42"/>
      <c r="AC234" s="51"/>
      <c r="AD234" s="104"/>
      <c r="AE234" s="16"/>
      <c r="AF234" s="52">
        <v>1</v>
      </c>
      <c r="AG234" s="58" t="s">
        <v>85</v>
      </c>
    </row>
    <row r="235" s="1" customFormat="1" ht="45" hidden="1" spans="1:33">
      <c r="A235" s="10">
        <v>230</v>
      </c>
      <c r="B235" s="16" t="s">
        <v>7</v>
      </c>
      <c r="C235" s="16" t="s">
        <v>553</v>
      </c>
      <c r="D235" s="16" t="s">
        <v>593</v>
      </c>
      <c r="E235" s="16" t="s">
        <v>594</v>
      </c>
      <c r="F235" s="16" t="s">
        <v>594</v>
      </c>
      <c r="G235" s="16" t="s">
        <v>107</v>
      </c>
      <c r="H235" s="16" t="s">
        <v>595</v>
      </c>
      <c r="I235" s="101" t="s">
        <v>82</v>
      </c>
      <c r="J235" s="31" t="s">
        <v>109</v>
      </c>
      <c r="K235" s="24">
        <v>1</v>
      </c>
      <c r="L235" s="25">
        <v>1421.67</v>
      </c>
      <c r="M235" s="16">
        <v>1</v>
      </c>
      <c r="N235" s="95" t="s">
        <v>84</v>
      </c>
      <c r="O235" s="18" t="s">
        <v>241</v>
      </c>
      <c r="P235" s="25">
        <v>227.4672</v>
      </c>
      <c r="Q235" s="95" t="s">
        <v>86</v>
      </c>
      <c r="R235" s="42"/>
      <c r="S235" s="42"/>
      <c r="T235" s="42"/>
      <c r="U235" s="42"/>
      <c r="V235" s="42"/>
      <c r="W235" s="42"/>
      <c r="X235" s="42"/>
      <c r="Y235" s="42"/>
      <c r="Z235" s="42"/>
      <c r="AA235" s="42"/>
      <c r="AB235" s="42"/>
      <c r="AC235" s="51"/>
      <c r="AD235" s="104"/>
      <c r="AE235" s="16"/>
      <c r="AF235" s="52">
        <v>1</v>
      </c>
      <c r="AG235" s="58" t="s">
        <v>85</v>
      </c>
    </row>
    <row r="236" s="1" customFormat="1" ht="45" hidden="1" spans="1:33">
      <c r="A236" s="10">
        <v>231</v>
      </c>
      <c r="B236" s="16" t="s">
        <v>7</v>
      </c>
      <c r="C236" s="100" t="s">
        <v>596</v>
      </c>
      <c r="D236" s="100" t="s">
        <v>597</v>
      </c>
      <c r="E236" s="16" t="s">
        <v>598</v>
      </c>
      <c r="F236" s="16" t="s">
        <v>598</v>
      </c>
      <c r="G236" s="16" t="s">
        <v>107</v>
      </c>
      <c r="H236" s="99" t="s">
        <v>599</v>
      </c>
      <c r="I236" s="101" t="s">
        <v>177</v>
      </c>
      <c r="J236" s="31" t="s">
        <v>109</v>
      </c>
      <c r="K236" s="24">
        <v>1</v>
      </c>
      <c r="L236" s="25">
        <v>9.16</v>
      </c>
      <c r="M236" s="16">
        <v>1</v>
      </c>
      <c r="N236" s="16" t="s">
        <v>84</v>
      </c>
      <c r="O236" s="18" t="s">
        <v>21</v>
      </c>
      <c r="P236" s="25">
        <v>1.4656</v>
      </c>
      <c r="Q236" s="95" t="s">
        <v>85</v>
      </c>
      <c r="R236" s="42"/>
      <c r="S236" s="42"/>
      <c r="T236" s="42"/>
      <c r="U236" s="42"/>
      <c r="V236" s="42"/>
      <c r="W236" s="42"/>
      <c r="X236" s="42"/>
      <c r="Y236" s="42"/>
      <c r="Z236" s="42"/>
      <c r="AA236" s="42"/>
      <c r="AB236" s="42"/>
      <c r="AC236" s="51"/>
      <c r="AD236" s="104"/>
      <c r="AE236" s="16"/>
      <c r="AF236" s="52">
        <v>1</v>
      </c>
      <c r="AG236" s="58" t="s">
        <v>85</v>
      </c>
    </row>
    <row r="237" s="1" customFormat="1" ht="45" hidden="1" spans="1:33">
      <c r="A237" s="10">
        <v>232</v>
      </c>
      <c r="B237" s="16" t="s">
        <v>7</v>
      </c>
      <c r="C237" s="98" t="s">
        <v>580</v>
      </c>
      <c r="D237" s="98" t="s">
        <v>600</v>
      </c>
      <c r="E237" s="16" t="s">
        <v>601</v>
      </c>
      <c r="F237" s="16" t="s">
        <v>601</v>
      </c>
      <c r="G237" s="16" t="s">
        <v>107</v>
      </c>
      <c r="H237" s="99" t="s">
        <v>602</v>
      </c>
      <c r="I237" s="101" t="s">
        <v>177</v>
      </c>
      <c r="J237" s="31" t="s">
        <v>109</v>
      </c>
      <c r="K237" s="24">
        <v>1</v>
      </c>
      <c r="L237" s="25">
        <v>138.31</v>
      </c>
      <c r="M237" s="16">
        <v>1</v>
      </c>
      <c r="N237" s="95" t="s">
        <v>84</v>
      </c>
      <c r="O237" s="18" t="s">
        <v>28</v>
      </c>
      <c r="P237" s="25">
        <v>41.493</v>
      </c>
      <c r="Q237" s="95" t="s">
        <v>86</v>
      </c>
      <c r="R237" s="42"/>
      <c r="S237" s="42"/>
      <c r="T237" s="42"/>
      <c r="U237" s="42"/>
      <c r="V237" s="42"/>
      <c r="W237" s="42"/>
      <c r="X237" s="42"/>
      <c r="Y237" s="42"/>
      <c r="Z237" s="42"/>
      <c r="AA237" s="42"/>
      <c r="AB237" s="42"/>
      <c r="AC237" s="51"/>
      <c r="AD237" s="104"/>
      <c r="AE237" s="16"/>
      <c r="AF237" s="52">
        <v>1</v>
      </c>
      <c r="AG237" s="58" t="s">
        <v>85</v>
      </c>
    </row>
    <row r="238" s="1" customFormat="1" ht="45" hidden="1" spans="1:33">
      <c r="A238" s="10">
        <v>233</v>
      </c>
      <c r="B238" s="16" t="s">
        <v>7</v>
      </c>
      <c r="C238" s="98" t="s">
        <v>545</v>
      </c>
      <c r="D238" s="98" t="s">
        <v>603</v>
      </c>
      <c r="E238" s="98" t="s">
        <v>604</v>
      </c>
      <c r="F238" s="98" t="s">
        <v>604</v>
      </c>
      <c r="G238" s="16" t="s">
        <v>107</v>
      </c>
      <c r="H238" s="99" t="s">
        <v>605</v>
      </c>
      <c r="I238" s="101" t="s">
        <v>177</v>
      </c>
      <c r="J238" s="31" t="s">
        <v>109</v>
      </c>
      <c r="K238" s="24">
        <v>1</v>
      </c>
      <c r="L238" s="25">
        <v>66.16</v>
      </c>
      <c r="M238" s="16">
        <v>1</v>
      </c>
      <c r="N238" s="95" t="s">
        <v>89</v>
      </c>
      <c r="O238" s="18" t="s">
        <v>21</v>
      </c>
      <c r="P238" s="25">
        <v>10.5856</v>
      </c>
      <c r="Q238" s="95" t="s">
        <v>85</v>
      </c>
      <c r="R238" s="42"/>
      <c r="S238" s="42"/>
      <c r="T238" s="42"/>
      <c r="U238" s="42"/>
      <c r="V238" s="42"/>
      <c r="W238" s="42"/>
      <c r="X238" s="42"/>
      <c r="Y238" s="42"/>
      <c r="Z238" s="42"/>
      <c r="AA238" s="42"/>
      <c r="AB238" s="42"/>
      <c r="AC238" s="51"/>
      <c r="AD238" s="104"/>
      <c r="AE238" s="16"/>
      <c r="AF238" s="52">
        <v>1</v>
      </c>
      <c r="AG238" s="58" t="s">
        <v>85</v>
      </c>
    </row>
    <row r="239" s="1" customFormat="1" ht="45" hidden="1" spans="1:33">
      <c r="A239" s="10">
        <v>234</v>
      </c>
      <c r="B239" s="16" t="s">
        <v>7</v>
      </c>
      <c r="C239" s="98" t="s">
        <v>572</v>
      </c>
      <c r="D239" s="98" t="s">
        <v>573</v>
      </c>
      <c r="E239" s="16" t="s">
        <v>606</v>
      </c>
      <c r="F239" s="16" t="s">
        <v>606</v>
      </c>
      <c r="G239" s="16" t="s">
        <v>107</v>
      </c>
      <c r="H239" s="99" t="s">
        <v>118</v>
      </c>
      <c r="I239" s="101" t="s">
        <v>177</v>
      </c>
      <c r="J239" s="31" t="s">
        <v>109</v>
      </c>
      <c r="K239" s="24">
        <v>5</v>
      </c>
      <c r="L239" s="25">
        <v>177.61</v>
      </c>
      <c r="M239" s="16">
        <v>2</v>
      </c>
      <c r="N239" s="16" t="s">
        <v>84</v>
      </c>
      <c r="O239" s="18" t="s">
        <v>27</v>
      </c>
      <c r="P239" s="25">
        <v>53.283</v>
      </c>
      <c r="Q239" s="95" t="s">
        <v>85</v>
      </c>
      <c r="R239" s="42"/>
      <c r="S239" s="42"/>
      <c r="T239" s="42"/>
      <c r="U239" s="42"/>
      <c r="V239" s="42"/>
      <c r="W239" s="42"/>
      <c r="X239" s="42"/>
      <c r="Y239" s="42"/>
      <c r="Z239" s="42"/>
      <c r="AA239" s="42"/>
      <c r="AB239" s="42"/>
      <c r="AC239" s="51"/>
      <c r="AD239" s="52"/>
      <c r="AE239" s="16"/>
      <c r="AF239" s="52">
        <v>1</v>
      </c>
      <c r="AG239" s="58" t="s">
        <v>85</v>
      </c>
    </row>
    <row r="240" s="1" customFormat="1" ht="45" hidden="1" spans="1:33">
      <c r="A240" s="10">
        <v>235</v>
      </c>
      <c r="B240" s="16" t="s">
        <v>7</v>
      </c>
      <c r="C240" s="98" t="s">
        <v>545</v>
      </c>
      <c r="D240" s="98" t="s">
        <v>550</v>
      </c>
      <c r="E240" s="16" t="s">
        <v>607</v>
      </c>
      <c r="F240" s="16" t="s">
        <v>607</v>
      </c>
      <c r="G240" s="16" t="s">
        <v>107</v>
      </c>
      <c r="H240" s="16" t="s">
        <v>608</v>
      </c>
      <c r="I240" s="101" t="s">
        <v>177</v>
      </c>
      <c r="J240" s="31" t="s">
        <v>109</v>
      </c>
      <c r="K240" s="24">
        <v>5</v>
      </c>
      <c r="L240" s="25">
        <v>192.12</v>
      </c>
      <c r="M240" s="16">
        <v>2</v>
      </c>
      <c r="N240" s="16" t="s">
        <v>84</v>
      </c>
      <c r="O240" s="18" t="s">
        <v>28</v>
      </c>
      <c r="P240" s="25">
        <v>57.636</v>
      </c>
      <c r="Q240" s="26" t="s">
        <v>86</v>
      </c>
      <c r="R240" s="42"/>
      <c r="S240" s="42"/>
      <c r="T240" s="42"/>
      <c r="U240" s="42"/>
      <c r="V240" s="42"/>
      <c r="W240" s="42"/>
      <c r="X240" s="42"/>
      <c r="Y240" s="42"/>
      <c r="Z240" s="42"/>
      <c r="AA240" s="42"/>
      <c r="AB240" s="42"/>
      <c r="AC240" s="51"/>
      <c r="AD240" s="52"/>
      <c r="AE240" s="16" t="s">
        <v>104</v>
      </c>
      <c r="AF240" s="52">
        <v>1</v>
      </c>
      <c r="AG240" s="58" t="s">
        <v>85</v>
      </c>
    </row>
    <row r="241" s="1" customFormat="1" ht="33.75" hidden="1" spans="1:33">
      <c r="A241" s="10">
        <v>236</v>
      </c>
      <c r="B241" s="16" t="s">
        <v>7</v>
      </c>
      <c r="C241" s="16" t="s">
        <v>596</v>
      </c>
      <c r="D241" s="16" t="s">
        <v>609</v>
      </c>
      <c r="E241" s="16" t="s">
        <v>610</v>
      </c>
      <c r="F241" s="16" t="s">
        <v>610</v>
      </c>
      <c r="G241" s="16" t="s">
        <v>107</v>
      </c>
      <c r="H241" s="99" t="s">
        <v>118</v>
      </c>
      <c r="I241" s="101" t="s">
        <v>177</v>
      </c>
      <c r="J241" s="31" t="s">
        <v>109</v>
      </c>
      <c r="K241" s="24">
        <v>1</v>
      </c>
      <c r="L241" s="25">
        <v>16.45</v>
      </c>
      <c r="M241" s="16">
        <v>1</v>
      </c>
      <c r="N241" s="95" t="s">
        <v>89</v>
      </c>
      <c r="O241" s="18" t="s">
        <v>21</v>
      </c>
      <c r="P241" s="25">
        <v>2.632</v>
      </c>
      <c r="Q241" s="95" t="s">
        <v>85</v>
      </c>
      <c r="R241" s="42"/>
      <c r="S241" s="42"/>
      <c r="T241" s="42"/>
      <c r="U241" s="42"/>
      <c r="V241" s="42"/>
      <c r="W241" s="42"/>
      <c r="X241" s="42"/>
      <c r="Y241" s="42"/>
      <c r="Z241" s="42"/>
      <c r="AA241" s="42"/>
      <c r="AB241" s="42"/>
      <c r="AC241" s="51"/>
      <c r="AD241" s="52"/>
      <c r="AE241" s="16"/>
      <c r="AF241" s="52">
        <v>1</v>
      </c>
      <c r="AG241" s="58" t="s">
        <v>85</v>
      </c>
    </row>
    <row r="242" s="1" customFormat="1" ht="33.75" hidden="1" spans="1:33">
      <c r="A242" s="10">
        <v>237</v>
      </c>
      <c r="B242" s="16" t="s">
        <v>7</v>
      </c>
      <c r="C242" s="16" t="s">
        <v>596</v>
      </c>
      <c r="D242" s="16" t="s">
        <v>611</v>
      </c>
      <c r="E242" s="16" t="s">
        <v>612</v>
      </c>
      <c r="F242" s="16" t="s">
        <v>612</v>
      </c>
      <c r="G242" s="16" t="s">
        <v>107</v>
      </c>
      <c r="H242" s="99" t="s">
        <v>118</v>
      </c>
      <c r="I242" s="101" t="s">
        <v>177</v>
      </c>
      <c r="J242" s="31" t="s">
        <v>109</v>
      </c>
      <c r="K242" s="24">
        <v>1</v>
      </c>
      <c r="L242" s="25">
        <v>46.47</v>
      </c>
      <c r="M242" s="16">
        <v>1</v>
      </c>
      <c r="N242" s="16" t="s">
        <v>84</v>
      </c>
      <c r="O242" s="18" t="s">
        <v>28</v>
      </c>
      <c r="P242" s="25">
        <v>13.941</v>
      </c>
      <c r="Q242" s="26" t="s">
        <v>86</v>
      </c>
      <c r="R242" s="42"/>
      <c r="S242" s="42"/>
      <c r="T242" s="42"/>
      <c r="U242" s="42"/>
      <c r="V242" s="42"/>
      <c r="W242" s="42"/>
      <c r="X242" s="42"/>
      <c r="Y242" s="42"/>
      <c r="Z242" s="42"/>
      <c r="AA242" s="42"/>
      <c r="AB242" s="42"/>
      <c r="AC242" s="51"/>
      <c r="AD242" s="104"/>
      <c r="AE242" s="16"/>
      <c r="AF242" s="52">
        <v>1</v>
      </c>
      <c r="AG242" s="58" t="s">
        <v>85</v>
      </c>
    </row>
    <row r="243" s="1" customFormat="1" ht="33.75" hidden="1" spans="1:33">
      <c r="A243" s="10">
        <v>238</v>
      </c>
      <c r="B243" s="16" t="s">
        <v>7</v>
      </c>
      <c r="C243" s="95" t="s">
        <v>596</v>
      </c>
      <c r="D243" s="95" t="s">
        <v>597</v>
      </c>
      <c r="E243" s="16" t="s">
        <v>613</v>
      </c>
      <c r="F243" s="16" t="s">
        <v>613</v>
      </c>
      <c r="G243" s="16" t="s">
        <v>107</v>
      </c>
      <c r="H243" s="99" t="s">
        <v>118</v>
      </c>
      <c r="I243" s="101" t="s">
        <v>177</v>
      </c>
      <c r="J243" s="31" t="s">
        <v>109</v>
      </c>
      <c r="K243" s="24">
        <v>2</v>
      </c>
      <c r="L243" s="25">
        <v>1320.77</v>
      </c>
      <c r="M243" s="16">
        <v>2</v>
      </c>
      <c r="N243" s="95" t="s">
        <v>84</v>
      </c>
      <c r="O243" s="18" t="s">
        <v>21</v>
      </c>
      <c r="P243" s="25">
        <v>211.3232</v>
      </c>
      <c r="Q243" s="95" t="s">
        <v>85</v>
      </c>
      <c r="R243" s="42"/>
      <c r="S243" s="42"/>
      <c r="T243" s="42"/>
      <c r="U243" s="42"/>
      <c r="V243" s="42"/>
      <c r="W243" s="42"/>
      <c r="X243" s="42"/>
      <c r="Y243" s="42"/>
      <c r="Z243" s="42"/>
      <c r="AA243" s="42"/>
      <c r="AB243" s="42"/>
      <c r="AC243" s="51"/>
      <c r="AD243" s="52"/>
      <c r="AE243" s="16"/>
      <c r="AF243" s="52">
        <v>1</v>
      </c>
      <c r="AG243" s="58" t="s">
        <v>85</v>
      </c>
    </row>
    <row r="244" s="1" customFormat="1" ht="33.75" hidden="1" spans="1:33">
      <c r="A244" s="10">
        <v>239</v>
      </c>
      <c r="B244" s="16" t="s">
        <v>7</v>
      </c>
      <c r="C244" s="100" t="s">
        <v>596</v>
      </c>
      <c r="D244" s="16" t="s">
        <v>597</v>
      </c>
      <c r="E244" s="16" t="s">
        <v>614</v>
      </c>
      <c r="F244" s="16" t="s">
        <v>614</v>
      </c>
      <c r="G244" s="16" t="s">
        <v>107</v>
      </c>
      <c r="H244" s="99" t="s">
        <v>118</v>
      </c>
      <c r="I244" s="101" t="s">
        <v>177</v>
      </c>
      <c r="J244" s="31" t="s">
        <v>109</v>
      </c>
      <c r="K244" s="24">
        <v>3</v>
      </c>
      <c r="L244" s="25">
        <v>128.68</v>
      </c>
      <c r="M244" s="16">
        <v>2</v>
      </c>
      <c r="N244" s="95" t="s">
        <v>84</v>
      </c>
      <c r="O244" s="18" t="s">
        <v>27</v>
      </c>
      <c r="P244" s="25">
        <v>38.604</v>
      </c>
      <c r="Q244" s="95" t="s">
        <v>85</v>
      </c>
      <c r="R244" s="42"/>
      <c r="S244" s="42"/>
      <c r="T244" s="42"/>
      <c r="U244" s="42"/>
      <c r="V244" s="42"/>
      <c r="W244" s="42"/>
      <c r="X244" s="42"/>
      <c r="Y244" s="42"/>
      <c r="Z244" s="42"/>
      <c r="AA244" s="42"/>
      <c r="AB244" s="42"/>
      <c r="AC244" s="51"/>
      <c r="AD244" s="52"/>
      <c r="AE244" s="16"/>
      <c r="AF244" s="52">
        <v>1</v>
      </c>
      <c r="AG244" s="58" t="s">
        <v>85</v>
      </c>
    </row>
    <row r="245" s="1" customFormat="1" ht="45" hidden="1" spans="1:33">
      <c r="A245" s="10">
        <v>240</v>
      </c>
      <c r="B245" s="16" t="s">
        <v>7</v>
      </c>
      <c r="C245" s="98" t="s">
        <v>545</v>
      </c>
      <c r="D245" s="98" t="s">
        <v>615</v>
      </c>
      <c r="E245" s="16" t="s">
        <v>616</v>
      </c>
      <c r="F245" s="16" t="s">
        <v>616</v>
      </c>
      <c r="G245" s="16" t="s">
        <v>107</v>
      </c>
      <c r="H245" s="99" t="s">
        <v>617</v>
      </c>
      <c r="I245" s="101" t="s">
        <v>177</v>
      </c>
      <c r="J245" s="31" t="s">
        <v>109</v>
      </c>
      <c r="K245" s="24">
        <v>3</v>
      </c>
      <c r="L245" s="25">
        <v>103.31</v>
      </c>
      <c r="M245" s="16">
        <v>2</v>
      </c>
      <c r="N245" s="95" t="s">
        <v>84</v>
      </c>
      <c r="O245" s="18" t="s">
        <v>21</v>
      </c>
      <c r="P245" s="25">
        <v>16.5296</v>
      </c>
      <c r="Q245" s="95" t="s">
        <v>85</v>
      </c>
      <c r="R245" s="42"/>
      <c r="S245" s="42"/>
      <c r="T245" s="42"/>
      <c r="U245" s="42"/>
      <c r="V245" s="42"/>
      <c r="W245" s="42"/>
      <c r="X245" s="42"/>
      <c r="Y245" s="42"/>
      <c r="Z245" s="42"/>
      <c r="AA245" s="42"/>
      <c r="AB245" s="42"/>
      <c r="AC245" s="51"/>
      <c r="AD245" s="52"/>
      <c r="AE245" s="16"/>
      <c r="AF245" s="52">
        <v>1</v>
      </c>
      <c r="AG245" s="58" t="s">
        <v>85</v>
      </c>
    </row>
    <row r="246" s="1" customFormat="1" ht="45" hidden="1" spans="1:33">
      <c r="A246" s="10">
        <v>241</v>
      </c>
      <c r="B246" s="16" t="s">
        <v>7</v>
      </c>
      <c r="C246" s="98" t="s">
        <v>545</v>
      </c>
      <c r="D246" s="98" t="s">
        <v>615</v>
      </c>
      <c r="E246" s="16" t="s">
        <v>618</v>
      </c>
      <c r="F246" s="16" t="s">
        <v>618</v>
      </c>
      <c r="G246" s="16" t="s">
        <v>107</v>
      </c>
      <c r="H246" s="99" t="s">
        <v>619</v>
      </c>
      <c r="I246" s="101" t="s">
        <v>177</v>
      </c>
      <c r="J246" s="31" t="s">
        <v>109</v>
      </c>
      <c r="K246" s="24">
        <v>2</v>
      </c>
      <c r="L246" s="25">
        <v>88.33</v>
      </c>
      <c r="M246" s="16">
        <v>2</v>
      </c>
      <c r="N246" s="95" t="s">
        <v>84</v>
      </c>
      <c r="O246" s="18" t="s">
        <v>21</v>
      </c>
      <c r="P246" s="25">
        <v>14.1328</v>
      </c>
      <c r="Q246" s="95" t="s">
        <v>85</v>
      </c>
      <c r="R246" s="42"/>
      <c r="S246" s="42"/>
      <c r="T246" s="42"/>
      <c r="U246" s="42"/>
      <c r="V246" s="42"/>
      <c r="W246" s="42"/>
      <c r="X246" s="42"/>
      <c r="Y246" s="42"/>
      <c r="Z246" s="42"/>
      <c r="AA246" s="42"/>
      <c r="AB246" s="42"/>
      <c r="AC246" s="51"/>
      <c r="AD246" s="52"/>
      <c r="AE246" s="16" t="s">
        <v>104</v>
      </c>
      <c r="AF246" s="52">
        <v>1</v>
      </c>
      <c r="AG246" s="58" t="s">
        <v>85</v>
      </c>
    </row>
    <row r="247" s="1" customFormat="1" ht="45" hidden="1" spans="1:33">
      <c r="A247" s="10">
        <v>242</v>
      </c>
      <c r="B247" s="16" t="s">
        <v>7</v>
      </c>
      <c r="C247" s="98" t="s">
        <v>545</v>
      </c>
      <c r="D247" s="98" t="s">
        <v>615</v>
      </c>
      <c r="E247" s="16" t="s">
        <v>620</v>
      </c>
      <c r="F247" s="16" t="s">
        <v>620</v>
      </c>
      <c r="G247" s="16" t="s">
        <v>107</v>
      </c>
      <c r="H247" s="99" t="s">
        <v>621</v>
      </c>
      <c r="I247" s="101" t="s">
        <v>177</v>
      </c>
      <c r="J247" s="31" t="s">
        <v>109</v>
      </c>
      <c r="K247" s="24">
        <v>2</v>
      </c>
      <c r="L247" s="25">
        <v>93.55</v>
      </c>
      <c r="M247" s="16">
        <v>2</v>
      </c>
      <c r="N247" s="95" t="s">
        <v>89</v>
      </c>
      <c r="O247" s="18" t="s">
        <v>21</v>
      </c>
      <c r="P247" s="25">
        <v>14.968</v>
      </c>
      <c r="Q247" s="95" t="s">
        <v>85</v>
      </c>
      <c r="R247" s="42"/>
      <c r="S247" s="42"/>
      <c r="T247" s="42"/>
      <c r="U247" s="42"/>
      <c r="V247" s="42"/>
      <c r="W247" s="42"/>
      <c r="X247" s="42"/>
      <c r="Y247" s="42"/>
      <c r="Z247" s="42"/>
      <c r="AA247" s="42"/>
      <c r="AB247" s="42"/>
      <c r="AC247" s="51"/>
      <c r="AD247" s="52"/>
      <c r="AE247" s="16"/>
      <c r="AF247" s="52">
        <v>1</v>
      </c>
      <c r="AG247" s="58" t="s">
        <v>85</v>
      </c>
    </row>
    <row r="248" s="1" customFormat="1" ht="45" hidden="1" spans="1:33">
      <c r="A248" s="10">
        <v>243</v>
      </c>
      <c r="B248" s="16" t="s">
        <v>7</v>
      </c>
      <c r="C248" s="98" t="s">
        <v>545</v>
      </c>
      <c r="D248" s="98" t="s">
        <v>615</v>
      </c>
      <c r="E248" s="16" t="s">
        <v>622</v>
      </c>
      <c r="F248" s="16" t="s">
        <v>622</v>
      </c>
      <c r="G248" s="16" t="s">
        <v>107</v>
      </c>
      <c r="H248" s="99" t="s">
        <v>623</v>
      </c>
      <c r="I248" s="101" t="s">
        <v>177</v>
      </c>
      <c r="J248" s="31" t="s">
        <v>109</v>
      </c>
      <c r="K248" s="24">
        <v>2</v>
      </c>
      <c r="L248" s="25">
        <v>50.69</v>
      </c>
      <c r="M248" s="16">
        <v>1</v>
      </c>
      <c r="N248" s="95" t="s">
        <v>89</v>
      </c>
      <c r="O248" s="18" t="s">
        <v>21</v>
      </c>
      <c r="P248" s="25">
        <v>8.1104</v>
      </c>
      <c r="Q248" s="95" t="s">
        <v>85</v>
      </c>
      <c r="R248" s="42"/>
      <c r="S248" s="42"/>
      <c r="T248" s="42"/>
      <c r="U248" s="42"/>
      <c r="V248" s="42"/>
      <c r="W248" s="42"/>
      <c r="X248" s="42"/>
      <c r="Y248" s="42"/>
      <c r="Z248" s="42"/>
      <c r="AA248" s="42"/>
      <c r="AB248" s="42"/>
      <c r="AC248" s="51"/>
      <c r="AD248" s="52"/>
      <c r="AE248" s="16"/>
      <c r="AF248" s="52">
        <v>1</v>
      </c>
      <c r="AG248" s="58" t="s">
        <v>85</v>
      </c>
    </row>
    <row r="249" s="1" customFormat="1" ht="33.75" hidden="1" spans="1:33">
      <c r="A249" s="10">
        <v>244</v>
      </c>
      <c r="B249" s="16" t="s">
        <v>7</v>
      </c>
      <c r="C249" s="98" t="s">
        <v>572</v>
      </c>
      <c r="D249" s="98" t="s">
        <v>624</v>
      </c>
      <c r="E249" s="16" t="s">
        <v>625</v>
      </c>
      <c r="F249" s="16" t="s">
        <v>625</v>
      </c>
      <c r="G249" s="16" t="s">
        <v>107</v>
      </c>
      <c r="H249" s="99" t="s">
        <v>118</v>
      </c>
      <c r="I249" s="101" t="s">
        <v>177</v>
      </c>
      <c r="J249" s="31" t="s">
        <v>109</v>
      </c>
      <c r="K249" s="24">
        <v>1</v>
      </c>
      <c r="L249" s="25">
        <v>11.52</v>
      </c>
      <c r="M249" s="16">
        <v>1</v>
      </c>
      <c r="N249" s="95" t="s">
        <v>89</v>
      </c>
      <c r="O249" s="18" t="s">
        <v>21</v>
      </c>
      <c r="P249" s="25">
        <v>1.8432</v>
      </c>
      <c r="Q249" s="95" t="s">
        <v>85</v>
      </c>
      <c r="R249" s="42"/>
      <c r="S249" s="42"/>
      <c r="T249" s="42"/>
      <c r="U249" s="42"/>
      <c r="V249" s="42"/>
      <c r="W249" s="42"/>
      <c r="X249" s="42"/>
      <c r="Y249" s="42"/>
      <c r="Z249" s="42"/>
      <c r="AA249" s="42"/>
      <c r="AB249" s="42"/>
      <c r="AC249" s="51"/>
      <c r="AD249" s="52"/>
      <c r="AE249" s="16"/>
      <c r="AF249" s="52">
        <v>1</v>
      </c>
      <c r="AG249" s="58" t="s">
        <v>85</v>
      </c>
    </row>
    <row r="250" s="1" customFormat="1" ht="45" hidden="1" spans="1:33">
      <c r="A250" s="10">
        <v>245</v>
      </c>
      <c r="B250" s="16" t="s">
        <v>7</v>
      </c>
      <c r="C250" s="16" t="s">
        <v>553</v>
      </c>
      <c r="D250" s="16" t="s">
        <v>626</v>
      </c>
      <c r="E250" s="16" t="s">
        <v>627</v>
      </c>
      <c r="F250" s="16" t="s">
        <v>627</v>
      </c>
      <c r="G250" s="16" t="s">
        <v>107</v>
      </c>
      <c r="H250" s="99" t="s">
        <v>628</v>
      </c>
      <c r="I250" s="101" t="s">
        <v>177</v>
      </c>
      <c r="J250" s="31" t="s">
        <v>109</v>
      </c>
      <c r="K250" s="24">
        <v>2</v>
      </c>
      <c r="L250" s="25">
        <v>119.73</v>
      </c>
      <c r="M250" s="16">
        <v>1</v>
      </c>
      <c r="N250" s="95" t="s">
        <v>89</v>
      </c>
      <c r="O250" s="18" t="s">
        <v>21</v>
      </c>
      <c r="P250" s="25">
        <v>19.1568</v>
      </c>
      <c r="Q250" s="95" t="s">
        <v>85</v>
      </c>
      <c r="R250" s="42"/>
      <c r="S250" s="42"/>
      <c r="T250" s="42"/>
      <c r="U250" s="42"/>
      <c r="V250" s="42"/>
      <c r="W250" s="42"/>
      <c r="X250" s="42"/>
      <c r="Y250" s="42"/>
      <c r="Z250" s="42"/>
      <c r="AA250" s="42"/>
      <c r="AB250" s="42"/>
      <c r="AC250" s="51"/>
      <c r="AD250" s="104"/>
      <c r="AE250" s="16" t="s">
        <v>104</v>
      </c>
      <c r="AF250" s="52">
        <v>1</v>
      </c>
      <c r="AG250" s="58" t="s">
        <v>85</v>
      </c>
    </row>
    <row r="251" s="1" customFormat="1" ht="33.75" hidden="1" spans="1:33">
      <c r="A251" s="10">
        <v>246</v>
      </c>
      <c r="B251" s="16" t="s">
        <v>7</v>
      </c>
      <c r="C251" s="100" t="s">
        <v>629</v>
      </c>
      <c r="D251" s="100" t="s">
        <v>630</v>
      </c>
      <c r="E251" s="16" t="s">
        <v>631</v>
      </c>
      <c r="F251" s="16" t="s">
        <v>631</v>
      </c>
      <c r="G251" s="16" t="s">
        <v>107</v>
      </c>
      <c r="H251" s="99" t="s">
        <v>118</v>
      </c>
      <c r="I251" s="101" t="s">
        <v>177</v>
      </c>
      <c r="J251" s="31" t="s">
        <v>109</v>
      </c>
      <c r="K251" s="24">
        <v>4</v>
      </c>
      <c r="L251" s="25">
        <v>180.01</v>
      </c>
      <c r="M251" s="16">
        <v>2</v>
      </c>
      <c r="N251" s="95" t="s">
        <v>89</v>
      </c>
      <c r="O251" s="18" t="s">
        <v>241</v>
      </c>
      <c r="P251" s="25">
        <v>28.8016</v>
      </c>
      <c r="Q251" s="95"/>
      <c r="R251" s="42"/>
      <c r="S251" s="42"/>
      <c r="T251" s="42"/>
      <c r="U251" s="42"/>
      <c r="V251" s="42"/>
      <c r="W251" s="42"/>
      <c r="X251" s="42"/>
      <c r="Y251" s="42"/>
      <c r="Z251" s="42"/>
      <c r="AA251" s="42"/>
      <c r="AB251" s="42"/>
      <c r="AC251" s="51"/>
      <c r="AD251" s="104"/>
      <c r="AE251" s="16" t="s">
        <v>104</v>
      </c>
      <c r="AF251" s="52">
        <v>1</v>
      </c>
      <c r="AG251" s="58" t="s">
        <v>85</v>
      </c>
    </row>
    <row r="252" s="1" customFormat="1" ht="33.75" hidden="1" spans="1:33">
      <c r="A252" s="10">
        <v>247</v>
      </c>
      <c r="B252" s="16" t="s">
        <v>7</v>
      </c>
      <c r="C252" s="16" t="s">
        <v>580</v>
      </c>
      <c r="D252" s="16" t="s">
        <v>632</v>
      </c>
      <c r="E252" s="16" t="s">
        <v>633</v>
      </c>
      <c r="F252" s="16" t="s">
        <v>633</v>
      </c>
      <c r="G252" s="16" t="s">
        <v>107</v>
      </c>
      <c r="H252" s="99" t="s">
        <v>118</v>
      </c>
      <c r="I252" s="101" t="s">
        <v>177</v>
      </c>
      <c r="J252" s="31" t="s">
        <v>109</v>
      </c>
      <c r="K252" s="24">
        <v>1</v>
      </c>
      <c r="L252" s="25">
        <v>36.28</v>
      </c>
      <c r="M252" s="16">
        <v>1</v>
      </c>
      <c r="N252" s="95" t="s">
        <v>89</v>
      </c>
      <c r="O252" s="18" t="s">
        <v>21</v>
      </c>
      <c r="P252" s="25">
        <v>5.8048</v>
      </c>
      <c r="Q252" s="95" t="s">
        <v>85</v>
      </c>
      <c r="R252" s="42"/>
      <c r="S252" s="42"/>
      <c r="T252" s="42"/>
      <c r="U252" s="42"/>
      <c r="V252" s="42"/>
      <c r="W252" s="42"/>
      <c r="X252" s="42"/>
      <c r="Y252" s="42"/>
      <c r="Z252" s="42"/>
      <c r="AA252" s="42"/>
      <c r="AB252" s="42"/>
      <c r="AC252" s="51"/>
      <c r="AD252" s="104"/>
      <c r="AE252" s="16"/>
      <c r="AF252" s="52">
        <v>1</v>
      </c>
      <c r="AG252" s="58" t="s">
        <v>85</v>
      </c>
    </row>
    <row r="253" s="1" customFormat="1" ht="45" hidden="1" spans="1:33">
      <c r="A253" s="10">
        <v>248</v>
      </c>
      <c r="B253" s="16" t="s">
        <v>7</v>
      </c>
      <c r="C253" s="16" t="s">
        <v>580</v>
      </c>
      <c r="D253" s="16" t="s">
        <v>632</v>
      </c>
      <c r="E253" s="16" t="s">
        <v>634</v>
      </c>
      <c r="F253" s="16" t="s">
        <v>634</v>
      </c>
      <c r="G253" s="16" t="s">
        <v>107</v>
      </c>
      <c r="H253" s="99" t="s">
        <v>635</v>
      </c>
      <c r="I253" s="101" t="s">
        <v>177</v>
      </c>
      <c r="J253" s="31" t="s">
        <v>109</v>
      </c>
      <c r="K253" s="24">
        <v>2</v>
      </c>
      <c r="L253" s="25">
        <v>52.92</v>
      </c>
      <c r="M253" s="16">
        <v>1</v>
      </c>
      <c r="N253" s="95" t="s">
        <v>89</v>
      </c>
      <c r="O253" s="18" t="s">
        <v>21</v>
      </c>
      <c r="P253" s="25">
        <v>8.4672</v>
      </c>
      <c r="Q253" s="95" t="s">
        <v>85</v>
      </c>
      <c r="R253" s="42"/>
      <c r="S253" s="42"/>
      <c r="T253" s="42"/>
      <c r="U253" s="42"/>
      <c r="V253" s="42"/>
      <c r="W253" s="42"/>
      <c r="X253" s="42"/>
      <c r="Y253" s="42"/>
      <c r="Z253" s="42"/>
      <c r="AA253" s="42"/>
      <c r="AB253" s="42"/>
      <c r="AC253" s="51"/>
      <c r="AD253" s="104"/>
      <c r="AE253" s="16"/>
      <c r="AF253" s="52">
        <v>1</v>
      </c>
      <c r="AG253" s="58" t="s">
        <v>85</v>
      </c>
    </row>
    <row r="254" s="1" customFormat="1" ht="45" hidden="1" spans="1:33">
      <c r="A254" s="10">
        <v>249</v>
      </c>
      <c r="B254" s="16" t="s">
        <v>7</v>
      </c>
      <c r="C254" s="16" t="s">
        <v>580</v>
      </c>
      <c r="D254" s="16" t="s">
        <v>632</v>
      </c>
      <c r="E254" s="16" t="s">
        <v>636</v>
      </c>
      <c r="F254" s="16" t="s">
        <v>636</v>
      </c>
      <c r="G254" s="16" t="s">
        <v>107</v>
      </c>
      <c r="H254" s="99" t="s">
        <v>637</v>
      </c>
      <c r="I254" s="101" t="s">
        <v>177</v>
      </c>
      <c r="J254" s="31" t="s">
        <v>109</v>
      </c>
      <c r="K254" s="24">
        <v>4</v>
      </c>
      <c r="L254" s="25">
        <v>127.11</v>
      </c>
      <c r="M254" s="16">
        <v>1</v>
      </c>
      <c r="N254" s="95" t="s">
        <v>89</v>
      </c>
      <c r="O254" s="18" t="s">
        <v>21</v>
      </c>
      <c r="P254" s="25">
        <v>20.3376</v>
      </c>
      <c r="Q254" s="95" t="s">
        <v>85</v>
      </c>
      <c r="R254" s="42"/>
      <c r="S254" s="42"/>
      <c r="T254" s="42"/>
      <c r="U254" s="42"/>
      <c r="V254" s="42"/>
      <c r="W254" s="42"/>
      <c r="X254" s="42"/>
      <c r="Y254" s="42"/>
      <c r="Z254" s="42"/>
      <c r="AA254" s="42"/>
      <c r="AB254" s="42"/>
      <c r="AC254" s="51"/>
      <c r="AD254" s="104"/>
      <c r="AE254" s="16"/>
      <c r="AF254" s="52">
        <v>1</v>
      </c>
      <c r="AG254" s="58" t="s">
        <v>85</v>
      </c>
    </row>
    <row r="255" s="1" customFormat="1" ht="45" hidden="1" spans="1:33">
      <c r="A255" s="10">
        <v>250</v>
      </c>
      <c r="B255" s="16" t="s">
        <v>7</v>
      </c>
      <c r="C255" s="16" t="s">
        <v>580</v>
      </c>
      <c r="D255" s="16" t="s">
        <v>632</v>
      </c>
      <c r="E255" s="16" t="s">
        <v>638</v>
      </c>
      <c r="F255" s="16" t="s">
        <v>638</v>
      </c>
      <c r="G255" s="16" t="s">
        <v>107</v>
      </c>
      <c r="H255" s="99" t="s">
        <v>639</v>
      </c>
      <c r="I255" s="101" t="s">
        <v>177</v>
      </c>
      <c r="J255" s="31" t="s">
        <v>109</v>
      </c>
      <c r="K255" s="24">
        <v>1</v>
      </c>
      <c r="L255" s="25">
        <v>31.02</v>
      </c>
      <c r="M255" s="16">
        <v>1</v>
      </c>
      <c r="N255" s="95" t="s">
        <v>89</v>
      </c>
      <c r="O255" s="18" t="s">
        <v>21</v>
      </c>
      <c r="P255" s="25">
        <v>4.9632</v>
      </c>
      <c r="Q255" s="95" t="s">
        <v>85</v>
      </c>
      <c r="R255" s="42"/>
      <c r="S255" s="42"/>
      <c r="T255" s="42"/>
      <c r="U255" s="42"/>
      <c r="V255" s="42"/>
      <c r="W255" s="42"/>
      <c r="X255" s="42"/>
      <c r="Y255" s="42"/>
      <c r="Z255" s="42"/>
      <c r="AA255" s="42"/>
      <c r="AB255" s="42"/>
      <c r="AC255" s="51"/>
      <c r="AD255" s="104"/>
      <c r="AE255" s="16"/>
      <c r="AF255" s="52">
        <v>1</v>
      </c>
      <c r="AG255" s="58" t="s">
        <v>85</v>
      </c>
    </row>
    <row r="256" s="1" customFormat="1" ht="33.75" hidden="1" spans="1:33">
      <c r="A256" s="10">
        <v>251</v>
      </c>
      <c r="B256" s="16" t="s">
        <v>7</v>
      </c>
      <c r="C256" s="16" t="s">
        <v>580</v>
      </c>
      <c r="D256" s="16" t="s">
        <v>632</v>
      </c>
      <c r="E256" s="16" t="s">
        <v>640</v>
      </c>
      <c r="F256" s="16" t="s">
        <v>640</v>
      </c>
      <c r="G256" s="16" t="s">
        <v>107</v>
      </c>
      <c r="H256" s="99" t="s">
        <v>118</v>
      </c>
      <c r="I256" s="101" t="s">
        <v>82</v>
      </c>
      <c r="J256" s="31" t="s">
        <v>109</v>
      </c>
      <c r="K256" s="24">
        <v>1</v>
      </c>
      <c r="L256" s="25">
        <v>75.01</v>
      </c>
      <c r="M256" s="16">
        <v>2</v>
      </c>
      <c r="N256" s="95" t="s">
        <v>89</v>
      </c>
      <c r="O256" s="18" t="s">
        <v>21</v>
      </c>
      <c r="P256" s="25">
        <v>12.0016</v>
      </c>
      <c r="Q256" s="95" t="s">
        <v>85</v>
      </c>
      <c r="R256" s="42"/>
      <c r="S256" s="42"/>
      <c r="T256" s="42"/>
      <c r="U256" s="42"/>
      <c r="V256" s="42"/>
      <c r="W256" s="42"/>
      <c r="X256" s="42"/>
      <c r="Y256" s="42"/>
      <c r="Z256" s="42"/>
      <c r="AA256" s="42"/>
      <c r="AB256" s="42"/>
      <c r="AC256" s="51"/>
      <c r="AD256" s="104"/>
      <c r="AE256" s="16"/>
      <c r="AF256" s="52">
        <v>1</v>
      </c>
      <c r="AG256" s="58" t="s">
        <v>85</v>
      </c>
    </row>
    <row r="257" s="1" customFormat="1" ht="33.75" hidden="1" spans="1:33">
      <c r="A257" s="10">
        <v>252</v>
      </c>
      <c r="B257" s="16" t="s">
        <v>7</v>
      </c>
      <c r="C257" s="16" t="s">
        <v>580</v>
      </c>
      <c r="D257" s="16" t="s">
        <v>632</v>
      </c>
      <c r="E257" s="16" t="s">
        <v>641</v>
      </c>
      <c r="F257" s="16" t="s">
        <v>641</v>
      </c>
      <c r="G257" s="16" t="s">
        <v>107</v>
      </c>
      <c r="H257" s="99" t="s">
        <v>118</v>
      </c>
      <c r="I257" s="101" t="s">
        <v>82</v>
      </c>
      <c r="J257" s="31" t="s">
        <v>109</v>
      </c>
      <c r="K257" s="24">
        <v>1</v>
      </c>
      <c r="L257" s="25">
        <v>145.04</v>
      </c>
      <c r="M257" s="16">
        <v>2</v>
      </c>
      <c r="N257" s="95" t="s">
        <v>89</v>
      </c>
      <c r="O257" s="18" t="s">
        <v>21</v>
      </c>
      <c r="P257" s="25">
        <v>23.2064</v>
      </c>
      <c r="Q257" s="95" t="s">
        <v>85</v>
      </c>
      <c r="R257" s="42"/>
      <c r="S257" s="42"/>
      <c r="T257" s="42"/>
      <c r="U257" s="42"/>
      <c r="V257" s="42"/>
      <c r="W257" s="42"/>
      <c r="X257" s="42"/>
      <c r="Y257" s="42"/>
      <c r="Z257" s="42"/>
      <c r="AA257" s="42"/>
      <c r="AB257" s="42"/>
      <c r="AC257" s="51"/>
      <c r="AD257" s="104"/>
      <c r="AE257" s="16"/>
      <c r="AF257" s="52">
        <v>1</v>
      </c>
      <c r="AG257" s="58" t="s">
        <v>85</v>
      </c>
    </row>
    <row r="258" s="1" customFormat="1" ht="45" hidden="1" spans="1:33">
      <c r="A258" s="10">
        <v>253</v>
      </c>
      <c r="B258" s="16" t="s">
        <v>7</v>
      </c>
      <c r="C258" s="16" t="s">
        <v>642</v>
      </c>
      <c r="D258" s="16" t="s">
        <v>643</v>
      </c>
      <c r="E258" s="16" t="s">
        <v>644</v>
      </c>
      <c r="F258" s="16" t="s">
        <v>644</v>
      </c>
      <c r="G258" s="16" t="s">
        <v>107</v>
      </c>
      <c r="H258" s="99" t="s">
        <v>645</v>
      </c>
      <c r="I258" s="101" t="s">
        <v>177</v>
      </c>
      <c r="J258" s="31" t="s">
        <v>109</v>
      </c>
      <c r="K258" s="24">
        <v>1</v>
      </c>
      <c r="L258" s="25">
        <v>42.28</v>
      </c>
      <c r="M258" s="16">
        <v>1</v>
      </c>
      <c r="N258" s="95" t="s">
        <v>89</v>
      </c>
      <c r="O258" s="18" t="s">
        <v>21</v>
      </c>
      <c r="P258" s="25">
        <v>6.7648</v>
      </c>
      <c r="Q258" s="95" t="s">
        <v>85</v>
      </c>
      <c r="R258" s="42"/>
      <c r="S258" s="42"/>
      <c r="T258" s="42"/>
      <c r="U258" s="42"/>
      <c r="V258" s="42"/>
      <c r="W258" s="42"/>
      <c r="X258" s="42"/>
      <c r="Y258" s="42"/>
      <c r="Z258" s="42"/>
      <c r="AA258" s="42"/>
      <c r="AB258" s="42"/>
      <c r="AC258" s="51"/>
      <c r="AD258" s="104"/>
      <c r="AE258" s="16"/>
      <c r="AF258" s="52">
        <v>1</v>
      </c>
      <c r="AG258" s="58" t="s">
        <v>85</v>
      </c>
    </row>
    <row r="259" s="1" customFormat="1" ht="45" hidden="1" spans="1:33">
      <c r="A259" s="10">
        <v>254</v>
      </c>
      <c r="B259" s="16" t="s">
        <v>7</v>
      </c>
      <c r="C259" s="16" t="s">
        <v>642</v>
      </c>
      <c r="D259" s="16" t="s">
        <v>643</v>
      </c>
      <c r="E259" s="16" t="s">
        <v>646</v>
      </c>
      <c r="F259" s="16" t="s">
        <v>646</v>
      </c>
      <c r="G259" s="16" t="s">
        <v>107</v>
      </c>
      <c r="H259" s="99" t="s">
        <v>647</v>
      </c>
      <c r="I259" s="101" t="s">
        <v>177</v>
      </c>
      <c r="J259" s="31" t="s">
        <v>109</v>
      </c>
      <c r="K259" s="24">
        <v>1</v>
      </c>
      <c r="L259" s="25">
        <v>18.04</v>
      </c>
      <c r="M259" s="16">
        <v>1</v>
      </c>
      <c r="N259" s="95" t="s">
        <v>89</v>
      </c>
      <c r="O259" s="18" t="s">
        <v>21</v>
      </c>
      <c r="P259" s="25">
        <v>2.8864</v>
      </c>
      <c r="Q259" s="95" t="s">
        <v>85</v>
      </c>
      <c r="R259" s="42"/>
      <c r="S259" s="42"/>
      <c r="T259" s="42"/>
      <c r="U259" s="42"/>
      <c r="V259" s="42"/>
      <c r="W259" s="42"/>
      <c r="X259" s="42"/>
      <c r="Y259" s="42"/>
      <c r="Z259" s="42"/>
      <c r="AA259" s="42"/>
      <c r="AB259" s="42"/>
      <c r="AC259" s="51"/>
      <c r="AD259" s="104"/>
      <c r="AE259" s="16"/>
      <c r="AF259" s="52">
        <v>1</v>
      </c>
      <c r="AG259" s="58" t="s">
        <v>85</v>
      </c>
    </row>
    <row r="260" s="1" customFormat="1" ht="45" hidden="1" spans="1:33">
      <c r="A260" s="10">
        <v>255</v>
      </c>
      <c r="B260" s="16" t="s">
        <v>7</v>
      </c>
      <c r="C260" s="16" t="s">
        <v>642</v>
      </c>
      <c r="D260" s="16" t="s">
        <v>643</v>
      </c>
      <c r="E260" s="16" t="s">
        <v>648</v>
      </c>
      <c r="F260" s="16" t="s">
        <v>648</v>
      </c>
      <c r="G260" s="16" t="s">
        <v>107</v>
      </c>
      <c r="H260" s="99" t="s">
        <v>649</v>
      </c>
      <c r="I260" s="101" t="s">
        <v>177</v>
      </c>
      <c r="J260" s="31" t="s">
        <v>109</v>
      </c>
      <c r="K260" s="24">
        <v>1</v>
      </c>
      <c r="L260" s="25">
        <v>31.29</v>
      </c>
      <c r="M260" s="16">
        <v>1</v>
      </c>
      <c r="N260" s="95" t="s">
        <v>89</v>
      </c>
      <c r="O260" s="18" t="s">
        <v>21</v>
      </c>
      <c r="P260" s="25">
        <v>5.0064</v>
      </c>
      <c r="Q260" s="95" t="s">
        <v>85</v>
      </c>
      <c r="R260" s="42"/>
      <c r="S260" s="42"/>
      <c r="T260" s="42"/>
      <c r="U260" s="42"/>
      <c r="V260" s="42"/>
      <c r="W260" s="42"/>
      <c r="X260" s="42"/>
      <c r="Y260" s="42"/>
      <c r="Z260" s="42"/>
      <c r="AA260" s="42"/>
      <c r="AB260" s="42"/>
      <c r="AC260" s="51"/>
      <c r="AD260" s="104"/>
      <c r="AE260" s="16"/>
      <c r="AF260" s="52">
        <v>1</v>
      </c>
      <c r="AG260" s="58" t="s">
        <v>85</v>
      </c>
    </row>
    <row r="261" s="1" customFormat="1" ht="33.75" hidden="1" spans="1:33">
      <c r="A261" s="10">
        <v>256</v>
      </c>
      <c r="B261" s="16" t="s">
        <v>7</v>
      </c>
      <c r="C261" s="98" t="s">
        <v>545</v>
      </c>
      <c r="D261" s="98" t="s">
        <v>603</v>
      </c>
      <c r="E261" s="16" t="s">
        <v>650</v>
      </c>
      <c r="F261" s="16" t="s">
        <v>650</v>
      </c>
      <c r="G261" s="16" t="s">
        <v>107</v>
      </c>
      <c r="H261" s="99" t="s">
        <v>118</v>
      </c>
      <c r="I261" s="101" t="s">
        <v>82</v>
      </c>
      <c r="J261" s="31" t="s">
        <v>109</v>
      </c>
      <c r="K261" s="24">
        <v>7</v>
      </c>
      <c r="L261" s="25">
        <v>118.82</v>
      </c>
      <c r="M261" s="16">
        <v>2</v>
      </c>
      <c r="N261" s="95" t="s">
        <v>84</v>
      </c>
      <c r="O261" s="18" t="s">
        <v>28</v>
      </c>
      <c r="P261" s="25">
        <v>35.646</v>
      </c>
      <c r="Q261" s="26" t="s">
        <v>86</v>
      </c>
      <c r="R261" s="42"/>
      <c r="S261" s="42"/>
      <c r="T261" s="42"/>
      <c r="U261" s="42"/>
      <c r="V261" s="42"/>
      <c r="W261" s="42"/>
      <c r="X261" s="42"/>
      <c r="Y261" s="42"/>
      <c r="Z261" s="42"/>
      <c r="AA261" s="42"/>
      <c r="AB261" s="42"/>
      <c r="AC261" s="51"/>
      <c r="AD261" s="104"/>
      <c r="AE261" s="26"/>
      <c r="AF261" s="52">
        <v>1</v>
      </c>
      <c r="AG261" s="58" t="s">
        <v>85</v>
      </c>
    </row>
    <row r="262" s="1" customFormat="1" ht="45" hidden="1" spans="1:33">
      <c r="A262" s="10">
        <v>257</v>
      </c>
      <c r="B262" s="16" t="s">
        <v>7</v>
      </c>
      <c r="C262" s="100" t="s">
        <v>596</v>
      </c>
      <c r="D262" s="100" t="s">
        <v>651</v>
      </c>
      <c r="E262" s="16" t="s">
        <v>652</v>
      </c>
      <c r="F262" s="16" t="s">
        <v>652</v>
      </c>
      <c r="G262" s="16" t="s">
        <v>107</v>
      </c>
      <c r="H262" s="99" t="s">
        <v>653</v>
      </c>
      <c r="I262" s="101" t="s">
        <v>82</v>
      </c>
      <c r="J262" s="31" t="s">
        <v>109</v>
      </c>
      <c r="K262" s="24">
        <v>5</v>
      </c>
      <c r="L262" s="25">
        <v>159.91</v>
      </c>
      <c r="M262" s="16">
        <v>2</v>
      </c>
      <c r="N262" s="95" t="s">
        <v>89</v>
      </c>
      <c r="O262" s="18" t="s">
        <v>21</v>
      </c>
      <c r="P262" s="25">
        <v>25.5856</v>
      </c>
      <c r="Q262" s="95" t="s">
        <v>85</v>
      </c>
      <c r="R262" s="42"/>
      <c r="S262" s="42"/>
      <c r="T262" s="42"/>
      <c r="U262" s="42"/>
      <c r="V262" s="42"/>
      <c r="W262" s="42"/>
      <c r="X262" s="42"/>
      <c r="Y262" s="42"/>
      <c r="Z262" s="42"/>
      <c r="AA262" s="42"/>
      <c r="AB262" s="42"/>
      <c r="AC262" s="51"/>
      <c r="AD262" s="104"/>
      <c r="AE262" s="16"/>
      <c r="AF262" s="52">
        <v>1</v>
      </c>
      <c r="AG262" s="58" t="s">
        <v>85</v>
      </c>
    </row>
    <row r="263" s="1" customFormat="1" ht="45" hidden="1" spans="1:33">
      <c r="A263" s="10">
        <v>258</v>
      </c>
      <c r="B263" s="16" t="s">
        <v>7</v>
      </c>
      <c r="C263" s="100" t="s">
        <v>596</v>
      </c>
      <c r="D263" s="100" t="s">
        <v>651</v>
      </c>
      <c r="E263" s="16" t="s">
        <v>654</v>
      </c>
      <c r="F263" s="16" t="s">
        <v>654</v>
      </c>
      <c r="G263" s="16" t="s">
        <v>107</v>
      </c>
      <c r="H263" s="99" t="s">
        <v>655</v>
      </c>
      <c r="I263" s="101" t="s">
        <v>177</v>
      </c>
      <c r="J263" s="31" t="s">
        <v>109</v>
      </c>
      <c r="K263" s="24">
        <v>1</v>
      </c>
      <c r="L263" s="25">
        <v>27.45</v>
      </c>
      <c r="M263" s="16">
        <v>1</v>
      </c>
      <c r="N263" s="95" t="s">
        <v>84</v>
      </c>
      <c r="O263" s="18" t="s">
        <v>28</v>
      </c>
      <c r="P263" s="25">
        <v>8.235</v>
      </c>
      <c r="Q263" s="26" t="s">
        <v>86</v>
      </c>
      <c r="R263" s="42"/>
      <c r="S263" s="42"/>
      <c r="T263" s="42"/>
      <c r="U263" s="42"/>
      <c r="V263" s="42"/>
      <c r="W263" s="42"/>
      <c r="X263" s="42"/>
      <c r="Y263" s="42"/>
      <c r="Z263" s="42"/>
      <c r="AA263" s="42"/>
      <c r="AB263" s="42"/>
      <c r="AC263" s="51"/>
      <c r="AD263" s="104"/>
      <c r="AE263" s="16"/>
      <c r="AF263" s="52">
        <v>1</v>
      </c>
      <c r="AG263" s="58" t="s">
        <v>85</v>
      </c>
    </row>
    <row r="264" s="1" customFormat="1" ht="45" hidden="1" spans="1:33">
      <c r="A264" s="10">
        <v>259</v>
      </c>
      <c r="B264" s="16" t="s">
        <v>7</v>
      </c>
      <c r="C264" s="100" t="s">
        <v>596</v>
      </c>
      <c r="D264" s="100" t="s">
        <v>656</v>
      </c>
      <c r="E264" s="16" t="s">
        <v>657</v>
      </c>
      <c r="F264" s="16" t="s">
        <v>657</v>
      </c>
      <c r="G264" s="16" t="s">
        <v>107</v>
      </c>
      <c r="H264" s="99" t="s">
        <v>658</v>
      </c>
      <c r="I264" s="101" t="s">
        <v>177</v>
      </c>
      <c r="J264" s="31" t="s">
        <v>109</v>
      </c>
      <c r="K264" s="24">
        <v>4</v>
      </c>
      <c r="L264" s="25">
        <v>123.22</v>
      </c>
      <c r="M264" s="16">
        <v>1</v>
      </c>
      <c r="N264" s="16" t="s">
        <v>84</v>
      </c>
      <c r="O264" s="18" t="s">
        <v>21</v>
      </c>
      <c r="P264" s="25">
        <v>19.7152</v>
      </c>
      <c r="Q264" s="95" t="s">
        <v>85</v>
      </c>
      <c r="R264" s="42"/>
      <c r="S264" s="42"/>
      <c r="T264" s="42"/>
      <c r="U264" s="42"/>
      <c r="V264" s="42"/>
      <c r="W264" s="42"/>
      <c r="X264" s="42"/>
      <c r="Y264" s="42"/>
      <c r="Z264" s="42"/>
      <c r="AA264" s="42"/>
      <c r="AB264" s="42"/>
      <c r="AC264" s="51"/>
      <c r="AD264" s="104"/>
      <c r="AE264" s="16" t="s">
        <v>104</v>
      </c>
      <c r="AF264" s="52">
        <v>1</v>
      </c>
      <c r="AG264" s="58" t="s">
        <v>85</v>
      </c>
    </row>
    <row r="265" s="1" customFormat="1" ht="33.75" hidden="1" spans="1:33">
      <c r="A265" s="10">
        <v>260</v>
      </c>
      <c r="B265" s="16" t="s">
        <v>7</v>
      </c>
      <c r="C265" s="100" t="s">
        <v>596</v>
      </c>
      <c r="D265" s="100" t="s">
        <v>656</v>
      </c>
      <c r="E265" s="16" t="s">
        <v>659</v>
      </c>
      <c r="F265" s="16" t="s">
        <v>659</v>
      </c>
      <c r="G265" s="16" t="s">
        <v>107</v>
      </c>
      <c r="H265" s="99" t="s">
        <v>118</v>
      </c>
      <c r="I265" s="101" t="s">
        <v>177</v>
      </c>
      <c r="J265" s="31" t="s">
        <v>109</v>
      </c>
      <c r="K265" s="24">
        <v>1</v>
      </c>
      <c r="L265" s="25">
        <v>93.06</v>
      </c>
      <c r="M265" s="16">
        <v>2</v>
      </c>
      <c r="N265" s="16" t="s">
        <v>84</v>
      </c>
      <c r="O265" s="18" t="s">
        <v>27</v>
      </c>
      <c r="P265" s="25">
        <v>27.918</v>
      </c>
      <c r="Q265" s="95" t="s">
        <v>85</v>
      </c>
      <c r="R265" s="42"/>
      <c r="S265" s="42"/>
      <c r="T265" s="42"/>
      <c r="U265" s="42"/>
      <c r="V265" s="42"/>
      <c r="W265" s="42"/>
      <c r="X265" s="42"/>
      <c r="Y265" s="42"/>
      <c r="Z265" s="42"/>
      <c r="AA265" s="42"/>
      <c r="AB265" s="42"/>
      <c r="AC265" s="51"/>
      <c r="AD265" s="104"/>
      <c r="AE265" s="16"/>
      <c r="AF265" s="52">
        <v>1</v>
      </c>
      <c r="AG265" s="58" t="s">
        <v>85</v>
      </c>
    </row>
    <row r="266" s="1" customFormat="1" ht="45" hidden="1" spans="1:33">
      <c r="A266" s="10">
        <v>261</v>
      </c>
      <c r="B266" s="16" t="s">
        <v>7</v>
      </c>
      <c r="C266" s="100" t="s">
        <v>545</v>
      </c>
      <c r="D266" s="100" t="s">
        <v>546</v>
      </c>
      <c r="E266" s="16" t="s">
        <v>660</v>
      </c>
      <c r="F266" s="16" t="s">
        <v>660</v>
      </c>
      <c r="G266" s="16" t="s">
        <v>107</v>
      </c>
      <c r="H266" s="100" t="s">
        <v>661</v>
      </c>
      <c r="I266" s="101" t="s">
        <v>177</v>
      </c>
      <c r="J266" s="31" t="s">
        <v>109</v>
      </c>
      <c r="K266" s="24">
        <v>3</v>
      </c>
      <c r="L266" s="25">
        <v>107.58</v>
      </c>
      <c r="M266" s="16">
        <v>2</v>
      </c>
      <c r="N266" s="95" t="s">
        <v>84</v>
      </c>
      <c r="O266" s="18" t="s">
        <v>27</v>
      </c>
      <c r="P266" s="25">
        <v>32.274</v>
      </c>
      <c r="Q266" s="95" t="s">
        <v>85</v>
      </c>
      <c r="R266" s="42"/>
      <c r="S266" s="42"/>
      <c r="T266" s="42"/>
      <c r="U266" s="42"/>
      <c r="V266" s="42"/>
      <c r="W266" s="42"/>
      <c r="X266" s="42"/>
      <c r="Y266" s="42"/>
      <c r="Z266" s="42"/>
      <c r="AA266" s="42"/>
      <c r="AB266" s="42"/>
      <c r="AC266" s="51"/>
      <c r="AD266" s="52"/>
      <c r="AE266" s="16" t="s">
        <v>104</v>
      </c>
      <c r="AF266" s="52">
        <v>1</v>
      </c>
      <c r="AG266" s="58" t="s">
        <v>85</v>
      </c>
    </row>
    <row r="267" s="1" customFormat="1" ht="45" hidden="1" spans="1:33">
      <c r="A267" s="10">
        <v>262</v>
      </c>
      <c r="B267" s="16" t="s">
        <v>7</v>
      </c>
      <c r="C267" s="100" t="s">
        <v>545</v>
      </c>
      <c r="D267" s="100" t="s">
        <v>546</v>
      </c>
      <c r="E267" s="16" t="s">
        <v>662</v>
      </c>
      <c r="F267" s="16" t="s">
        <v>662</v>
      </c>
      <c r="G267" s="16" t="s">
        <v>107</v>
      </c>
      <c r="H267" s="100" t="s">
        <v>663</v>
      </c>
      <c r="I267" s="101" t="s">
        <v>177</v>
      </c>
      <c r="J267" s="31" t="s">
        <v>109</v>
      </c>
      <c r="K267" s="24">
        <v>1</v>
      </c>
      <c r="L267" s="25">
        <v>85.68</v>
      </c>
      <c r="M267" s="16">
        <v>2</v>
      </c>
      <c r="N267" s="95" t="s">
        <v>84</v>
      </c>
      <c r="O267" s="18" t="s">
        <v>27</v>
      </c>
      <c r="P267" s="25">
        <v>25.704</v>
      </c>
      <c r="Q267" s="95" t="s">
        <v>85</v>
      </c>
      <c r="R267" s="42"/>
      <c r="S267" s="42"/>
      <c r="T267" s="42"/>
      <c r="U267" s="42"/>
      <c r="V267" s="42"/>
      <c r="W267" s="42"/>
      <c r="X267" s="42"/>
      <c r="Y267" s="42"/>
      <c r="Z267" s="42"/>
      <c r="AA267" s="42"/>
      <c r="AB267" s="42"/>
      <c r="AC267" s="51"/>
      <c r="AD267" s="52"/>
      <c r="AE267" s="16" t="s">
        <v>104</v>
      </c>
      <c r="AF267" s="52">
        <v>1</v>
      </c>
      <c r="AG267" s="58" t="s">
        <v>85</v>
      </c>
    </row>
    <row r="268" s="1" customFormat="1" ht="45" hidden="1" spans="1:33">
      <c r="A268" s="10">
        <v>263</v>
      </c>
      <c r="B268" s="16" t="s">
        <v>7</v>
      </c>
      <c r="C268" s="100" t="s">
        <v>545</v>
      </c>
      <c r="D268" s="100" t="s">
        <v>546</v>
      </c>
      <c r="E268" s="16" t="s">
        <v>664</v>
      </c>
      <c r="F268" s="16" t="s">
        <v>664</v>
      </c>
      <c r="G268" s="16" t="s">
        <v>107</v>
      </c>
      <c r="H268" s="100" t="s">
        <v>665</v>
      </c>
      <c r="I268" s="101" t="s">
        <v>82</v>
      </c>
      <c r="J268" s="31" t="s">
        <v>109</v>
      </c>
      <c r="K268" s="24">
        <v>1</v>
      </c>
      <c r="L268" s="25">
        <v>56.06</v>
      </c>
      <c r="M268" s="16">
        <v>2</v>
      </c>
      <c r="N268" s="95" t="s">
        <v>84</v>
      </c>
      <c r="O268" s="18" t="s">
        <v>27</v>
      </c>
      <c r="P268" s="25">
        <v>16.818</v>
      </c>
      <c r="Q268" s="95" t="s">
        <v>85</v>
      </c>
      <c r="R268" s="42"/>
      <c r="S268" s="42"/>
      <c r="T268" s="42"/>
      <c r="U268" s="42"/>
      <c r="V268" s="42"/>
      <c r="W268" s="42"/>
      <c r="X268" s="42"/>
      <c r="Y268" s="42"/>
      <c r="Z268" s="42"/>
      <c r="AA268" s="42"/>
      <c r="AB268" s="42"/>
      <c r="AC268" s="51"/>
      <c r="AD268" s="104"/>
      <c r="AE268" s="16"/>
      <c r="AF268" s="52">
        <v>1</v>
      </c>
      <c r="AG268" s="58" t="s">
        <v>85</v>
      </c>
    </row>
    <row r="269" s="1" customFormat="1" ht="45" hidden="1" spans="1:33">
      <c r="A269" s="10">
        <v>264</v>
      </c>
      <c r="B269" s="16" t="s">
        <v>7</v>
      </c>
      <c r="C269" s="100" t="s">
        <v>545</v>
      </c>
      <c r="D269" s="100" t="s">
        <v>546</v>
      </c>
      <c r="E269" s="16" t="s">
        <v>666</v>
      </c>
      <c r="F269" s="16" t="s">
        <v>666</v>
      </c>
      <c r="G269" s="16" t="s">
        <v>107</v>
      </c>
      <c r="H269" s="16" t="s">
        <v>667</v>
      </c>
      <c r="I269" s="101" t="s">
        <v>177</v>
      </c>
      <c r="J269" s="31" t="s">
        <v>109</v>
      </c>
      <c r="K269" s="24">
        <v>3</v>
      </c>
      <c r="L269" s="25">
        <v>332.65</v>
      </c>
      <c r="M269" s="16">
        <v>2</v>
      </c>
      <c r="N269" s="95" t="s">
        <v>89</v>
      </c>
      <c r="O269" s="18" t="s">
        <v>21</v>
      </c>
      <c r="P269" s="25">
        <v>53.224</v>
      </c>
      <c r="Q269" s="95" t="s">
        <v>85</v>
      </c>
      <c r="R269" s="42"/>
      <c r="S269" s="42"/>
      <c r="T269" s="42"/>
      <c r="U269" s="42"/>
      <c r="V269" s="42"/>
      <c r="W269" s="42"/>
      <c r="X269" s="42"/>
      <c r="Y269" s="42"/>
      <c r="Z269" s="42"/>
      <c r="AA269" s="42"/>
      <c r="AB269" s="42"/>
      <c r="AC269" s="51"/>
      <c r="AD269" s="104"/>
      <c r="AE269" s="16"/>
      <c r="AF269" s="52">
        <v>1</v>
      </c>
      <c r="AG269" s="58" t="s">
        <v>85</v>
      </c>
    </row>
    <row r="270" s="1" customFormat="1" ht="45" hidden="1" spans="1:33">
      <c r="A270" s="10">
        <v>265</v>
      </c>
      <c r="B270" s="16" t="s">
        <v>7</v>
      </c>
      <c r="C270" s="100" t="s">
        <v>545</v>
      </c>
      <c r="D270" s="100" t="s">
        <v>546</v>
      </c>
      <c r="E270" s="16" t="s">
        <v>668</v>
      </c>
      <c r="F270" s="16" t="s">
        <v>668</v>
      </c>
      <c r="G270" s="16" t="s">
        <v>107</v>
      </c>
      <c r="H270" s="16" t="s">
        <v>669</v>
      </c>
      <c r="I270" s="101" t="s">
        <v>177</v>
      </c>
      <c r="J270" s="31" t="s">
        <v>109</v>
      </c>
      <c r="K270" s="24">
        <v>1</v>
      </c>
      <c r="L270" s="25">
        <v>181.27</v>
      </c>
      <c r="M270" s="16">
        <v>2</v>
      </c>
      <c r="N270" s="95" t="s">
        <v>84</v>
      </c>
      <c r="O270" s="18" t="s">
        <v>27</v>
      </c>
      <c r="P270" s="25">
        <v>54.381</v>
      </c>
      <c r="Q270" s="95" t="s">
        <v>85</v>
      </c>
      <c r="R270" s="42"/>
      <c r="S270" s="42"/>
      <c r="T270" s="42"/>
      <c r="U270" s="42"/>
      <c r="V270" s="42"/>
      <c r="W270" s="42"/>
      <c r="X270" s="42"/>
      <c r="Y270" s="42"/>
      <c r="Z270" s="42"/>
      <c r="AA270" s="42"/>
      <c r="AB270" s="42"/>
      <c r="AC270" s="51"/>
      <c r="AD270" s="52"/>
      <c r="AE270" s="16"/>
      <c r="AF270" s="52">
        <v>1</v>
      </c>
      <c r="AG270" s="58" t="s">
        <v>85</v>
      </c>
    </row>
    <row r="271" s="1" customFormat="1" ht="45" hidden="1" spans="1:33">
      <c r="A271" s="10">
        <v>266</v>
      </c>
      <c r="B271" s="16" t="s">
        <v>7</v>
      </c>
      <c r="C271" s="100" t="s">
        <v>545</v>
      </c>
      <c r="D271" s="100" t="s">
        <v>546</v>
      </c>
      <c r="E271" s="16" t="s">
        <v>670</v>
      </c>
      <c r="F271" s="16" t="s">
        <v>670</v>
      </c>
      <c r="G271" s="16" t="s">
        <v>107</v>
      </c>
      <c r="H271" s="16" t="s">
        <v>671</v>
      </c>
      <c r="I271" s="101" t="s">
        <v>177</v>
      </c>
      <c r="J271" s="31" t="s">
        <v>109</v>
      </c>
      <c r="K271" s="24">
        <v>1</v>
      </c>
      <c r="L271" s="25">
        <v>285.25</v>
      </c>
      <c r="M271" s="16">
        <v>2</v>
      </c>
      <c r="N271" s="95" t="s">
        <v>89</v>
      </c>
      <c r="O271" s="18" t="s">
        <v>21</v>
      </c>
      <c r="P271" s="25">
        <v>45.64</v>
      </c>
      <c r="Q271" s="95" t="s">
        <v>85</v>
      </c>
      <c r="R271" s="42"/>
      <c r="S271" s="42"/>
      <c r="T271" s="42"/>
      <c r="U271" s="42"/>
      <c r="V271" s="42"/>
      <c r="W271" s="42"/>
      <c r="X271" s="42"/>
      <c r="Y271" s="42"/>
      <c r="Z271" s="42"/>
      <c r="AA271" s="42"/>
      <c r="AB271" s="42"/>
      <c r="AC271" s="51"/>
      <c r="AD271" s="52"/>
      <c r="AE271" s="16"/>
      <c r="AF271" s="52">
        <v>1</v>
      </c>
      <c r="AG271" s="58" t="s">
        <v>85</v>
      </c>
    </row>
    <row r="272" s="1" customFormat="1" ht="45" hidden="1" spans="1:33">
      <c r="A272" s="10">
        <v>267</v>
      </c>
      <c r="B272" s="16" t="s">
        <v>7</v>
      </c>
      <c r="C272" s="100" t="s">
        <v>545</v>
      </c>
      <c r="D272" s="100" t="s">
        <v>546</v>
      </c>
      <c r="E272" s="16" t="s">
        <v>672</v>
      </c>
      <c r="F272" s="16" t="s">
        <v>672</v>
      </c>
      <c r="G272" s="16" t="s">
        <v>107</v>
      </c>
      <c r="H272" s="16" t="s">
        <v>673</v>
      </c>
      <c r="I272" s="101" t="s">
        <v>82</v>
      </c>
      <c r="J272" s="31" t="s">
        <v>109</v>
      </c>
      <c r="K272" s="24">
        <v>1</v>
      </c>
      <c r="L272" s="25">
        <v>67.47</v>
      </c>
      <c r="M272" s="16">
        <v>2</v>
      </c>
      <c r="N272" s="95" t="s">
        <v>89</v>
      </c>
      <c r="O272" s="18" t="s">
        <v>21</v>
      </c>
      <c r="P272" s="25">
        <v>10.7952</v>
      </c>
      <c r="Q272" s="95" t="s">
        <v>85</v>
      </c>
      <c r="R272" s="42"/>
      <c r="S272" s="42"/>
      <c r="T272" s="42"/>
      <c r="U272" s="42"/>
      <c r="V272" s="42"/>
      <c r="W272" s="42"/>
      <c r="X272" s="42"/>
      <c r="Y272" s="42"/>
      <c r="Z272" s="42"/>
      <c r="AA272" s="42"/>
      <c r="AB272" s="42"/>
      <c r="AC272" s="51"/>
      <c r="AD272" s="52"/>
      <c r="AE272" s="16"/>
      <c r="AF272" s="52">
        <v>1</v>
      </c>
      <c r="AG272" s="58" t="s">
        <v>85</v>
      </c>
    </row>
    <row r="273" s="1" customFormat="1" ht="45" hidden="1" spans="1:33">
      <c r="A273" s="10">
        <v>268</v>
      </c>
      <c r="B273" s="31" t="s">
        <v>7</v>
      </c>
      <c r="C273" s="11" t="s">
        <v>545</v>
      </c>
      <c r="D273" s="11" t="s">
        <v>550</v>
      </c>
      <c r="E273" s="11" t="s">
        <v>674</v>
      </c>
      <c r="F273" s="11" t="s">
        <v>674</v>
      </c>
      <c r="G273" s="16" t="s">
        <v>107</v>
      </c>
      <c r="H273" s="16" t="s">
        <v>675</v>
      </c>
      <c r="I273" s="101" t="s">
        <v>177</v>
      </c>
      <c r="J273" s="31" t="s">
        <v>109</v>
      </c>
      <c r="K273" s="24">
        <v>9</v>
      </c>
      <c r="L273" s="25">
        <v>317.11</v>
      </c>
      <c r="M273" s="11">
        <v>2</v>
      </c>
      <c r="N273" s="14" t="s">
        <v>84</v>
      </c>
      <c r="O273" s="18" t="s">
        <v>27</v>
      </c>
      <c r="P273" s="25">
        <v>95.133</v>
      </c>
      <c r="Q273" s="95" t="s">
        <v>85</v>
      </c>
      <c r="R273" s="42"/>
      <c r="S273" s="42"/>
      <c r="T273" s="42"/>
      <c r="U273" s="42"/>
      <c r="V273" s="42"/>
      <c r="W273" s="42"/>
      <c r="X273" s="42"/>
      <c r="Y273" s="42"/>
      <c r="Z273" s="42"/>
      <c r="AA273" s="42"/>
      <c r="AB273" s="42"/>
      <c r="AC273" s="51"/>
      <c r="AD273" s="52"/>
      <c r="AE273" s="16" t="s">
        <v>104</v>
      </c>
      <c r="AF273" s="52">
        <v>1</v>
      </c>
      <c r="AG273" s="58" t="s">
        <v>85</v>
      </c>
    </row>
    <row r="274" s="1" customFormat="1" ht="45" hidden="1" spans="1:33">
      <c r="A274" s="10">
        <v>269</v>
      </c>
      <c r="B274" s="31" t="s">
        <v>7</v>
      </c>
      <c r="C274" s="11" t="s">
        <v>572</v>
      </c>
      <c r="D274" s="15" t="s">
        <v>576</v>
      </c>
      <c r="E274" s="11" t="s">
        <v>676</v>
      </c>
      <c r="F274" s="11" t="s">
        <v>676</v>
      </c>
      <c r="G274" s="16" t="s">
        <v>107</v>
      </c>
      <c r="H274" s="16" t="s">
        <v>677</v>
      </c>
      <c r="I274" s="101" t="s">
        <v>177</v>
      </c>
      <c r="J274" s="31" t="s">
        <v>109</v>
      </c>
      <c r="K274" s="24">
        <v>1</v>
      </c>
      <c r="L274" s="25">
        <v>26.54</v>
      </c>
      <c r="M274" s="11">
        <v>2</v>
      </c>
      <c r="N274" s="14" t="s">
        <v>89</v>
      </c>
      <c r="O274" s="18" t="s">
        <v>21</v>
      </c>
      <c r="P274" s="25">
        <v>4.2464</v>
      </c>
      <c r="Q274" s="95" t="s">
        <v>85</v>
      </c>
      <c r="R274" s="42"/>
      <c r="S274" s="42"/>
      <c r="T274" s="42"/>
      <c r="U274" s="42"/>
      <c r="V274" s="42"/>
      <c r="W274" s="42"/>
      <c r="X274" s="42"/>
      <c r="Y274" s="42"/>
      <c r="Z274" s="42"/>
      <c r="AA274" s="42"/>
      <c r="AB274" s="42"/>
      <c r="AC274" s="51"/>
      <c r="AD274" s="52"/>
      <c r="AE274" s="16" t="s">
        <v>104</v>
      </c>
      <c r="AF274" s="52">
        <v>1</v>
      </c>
      <c r="AG274" s="58" t="s">
        <v>85</v>
      </c>
    </row>
    <row r="275" s="1" customFormat="1" ht="45" hidden="1" spans="1:33">
      <c r="A275" s="10">
        <v>270</v>
      </c>
      <c r="B275" s="31" t="s">
        <v>7</v>
      </c>
      <c r="C275" s="11" t="s">
        <v>572</v>
      </c>
      <c r="D275" s="15" t="s">
        <v>624</v>
      </c>
      <c r="E275" s="11" t="s">
        <v>678</v>
      </c>
      <c r="F275" s="11" t="s">
        <v>678</v>
      </c>
      <c r="G275" s="16" t="s">
        <v>107</v>
      </c>
      <c r="H275" s="16" t="s">
        <v>679</v>
      </c>
      <c r="I275" s="101" t="s">
        <v>177</v>
      </c>
      <c r="J275" s="31" t="s">
        <v>109</v>
      </c>
      <c r="K275" s="24">
        <v>5</v>
      </c>
      <c r="L275" s="25">
        <v>129.83</v>
      </c>
      <c r="M275" s="11">
        <v>2</v>
      </c>
      <c r="N275" s="14" t="s">
        <v>84</v>
      </c>
      <c r="O275" s="18" t="s">
        <v>27</v>
      </c>
      <c r="P275" s="25">
        <v>38.949</v>
      </c>
      <c r="Q275" s="95" t="s">
        <v>85</v>
      </c>
      <c r="R275" s="42"/>
      <c r="S275" s="42"/>
      <c r="T275" s="42"/>
      <c r="U275" s="42"/>
      <c r="V275" s="42"/>
      <c r="W275" s="42"/>
      <c r="X275" s="42"/>
      <c r="Y275" s="42"/>
      <c r="Z275" s="42"/>
      <c r="AA275" s="42"/>
      <c r="AB275" s="42"/>
      <c r="AC275" s="51"/>
      <c r="AD275" s="52"/>
      <c r="AE275" s="16"/>
      <c r="AF275" s="52">
        <v>1</v>
      </c>
      <c r="AG275" s="58" t="s">
        <v>85</v>
      </c>
    </row>
    <row r="276" s="1" customFormat="1" ht="45" hidden="1" spans="1:33">
      <c r="A276" s="10">
        <v>271</v>
      </c>
      <c r="B276" s="31" t="s">
        <v>7</v>
      </c>
      <c r="C276" s="11" t="s">
        <v>572</v>
      </c>
      <c r="D276" s="12" t="s">
        <v>573</v>
      </c>
      <c r="E276" s="11" t="s">
        <v>680</v>
      </c>
      <c r="F276" s="11" t="s">
        <v>680</v>
      </c>
      <c r="G276" s="16" t="s">
        <v>107</v>
      </c>
      <c r="H276" s="16" t="s">
        <v>681</v>
      </c>
      <c r="I276" s="101" t="s">
        <v>177</v>
      </c>
      <c r="J276" s="31" t="s">
        <v>109</v>
      </c>
      <c r="K276" s="24">
        <v>1</v>
      </c>
      <c r="L276" s="25">
        <v>425.84</v>
      </c>
      <c r="M276" s="11">
        <v>2</v>
      </c>
      <c r="N276" s="14" t="s">
        <v>89</v>
      </c>
      <c r="O276" s="18" t="s">
        <v>21</v>
      </c>
      <c r="P276" s="25">
        <v>68.1344</v>
      </c>
      <c r="Q276" s="95" t="s">
        <v>85</v>
      </c>
      <c r="R276" s="42"/>
      <c r="S276" s="42"/>
      <c r="T276" s="42"/>
      <c r="U276" s="42"/>
      <c r="V276" s="42"/>
      <c r="W276" s="42"/>
      <c r="X276" s="42"/>
      <c r="Y276" s="42"/>
      <c r="Z276" s="42"/>
      <c r="AA276" s="42"/>
      <c r="AB276" s="42"/>
      <c r="AC276" s="51"/>
      <c r="AD276" s="52"/>
      <c r="AE276" s="16"/>
      <c r="AF276" s="52">
        <v>1</v>
      </c>
      <c r="AG276" s="58" t="s">
        <v>85</v>
      </c>
    </row>
    <row r="277" s="1" customFormat="1" ht="45" hidden="1" spans="1:33">
      <c r="A277" s="10">
        <v>272</v>
      </c>
      <c r="B277" s="31" t="s">
        <v>7</v>
      </c>
      <c r="C277" s="11" t="s">
        <v>596</v>
      </c>
      <c r="D277" s="15" t="s">
        <v>597</v>
      </c>
      <c r="E277" s="11" t="s">
        <v>682</v>
      </c>
      <c r="F277" s="11" t="s">
        <v>682</v>
      </c>
      <c r="G277" s="16" t="s">
        <v>107</v>
      </c>
      <c r="H277" s="16" t="s">
        <v>683</v>
      </c>
      <c r="I277" s="101" t="s">
        <v>177</v>
      </c>
      <c r="J277" s="31" t="s">
        <v>109</v>
      </c>
      <c r="K277" s="24">
        <v>1</v>
      </c>
      <c r="L277" s="25">
        <v>193.56</v>
      </c>
      <c r="M277" s="11">
        <v>2</v>
      </c>
      <c r="N277" s="14" t="s">
        <v>84</v>
      </c>
      <c r="O277" s="18" t="s">
        <v>27</v>
      </c>
      <c r="P277" s="25">
        <v>58.068</v>
      </c>
      <c r="Q277" s="95" t="s">
        <v>85</v>
      </c>
      <c r="R277" s="42"/>
      <c r="S277" s="42"/>
      <c r="T277" s="42"/>
      <c r="U277" s="42"/>
      <c r="V277" s="42"/>
      <c r="W277" s="42"/>
      <c r="X277" s="42"/>
      <c r="Y277" s="42"/>
      <c r="Z277" s="42"/>
      <c r="AA277" s="42"/>
      <c r="AB277" s="42"/>
      <c r="AC277" s="51"/>
      <c r="AD277" s="52"/>
      <c r="AE277" s="16"/>
      <c r="AF277" s="52">
        <v>1</v>
      </c>
      <c r="AG277" s="58" t="s">
        <v>85</v>
      </c>
    </row>
    <row r="278" s="1" customFormat="1" ht="45" hidden="1" spans="1:33">
      <c r="A278" s="10">
        <v>273</v>
      </c>
      <c r="B278" s="31" t="s">
        <v>7</v>
      </c>
      <c r="C278" s="11" t="s">
        <v>596</v>
      </c>
      <c r="D278" s="15" t="s">
        <v>597</v>
      </c>
      <c r="E278" s="11" t="s">
        <v>684</v>
      </c>
      <c r="F278" s="11" t="s">
        <v>684</v>
      </c>
      <c r="G278" s="16" t="s">
        <v>107</v>
      </c>
      <c r="H278" s="16" t="s">
        <v>685</v>
      </c>
      <c r="I278" s="101" t="s">
        <v>177</v>
      </c>
      <c r="J278" s="31" t="s">
        <v>109</v>
      </c>
      <c r="K278" s="24">
        <v>5</v>
      </c>
      <c r="L278" s="25">
        <v>269.25</v>
      </c>
      <c r="M278" s="11">
        <v>2</v>
      </c>
      <c r="N278" s="95" t="s">
        <v>84</v>
      </c>
      <c r="O278" s="18" t="s">
        <v>21</v>
      </c>
      <c r="P278" s="25">
        <v>43.08</v>
      </c>
      <c r="Q278" s="95" t="s">
        <v>85</v>
      </c>
      <c r="R278" s="42"/>
      <c r="S278" s="42"/>
      <c r="T278" s="42"/>
      <c r="U278" s="42"/>
      <c r="V278" s="42"/>
      <c r="W278" s="42"/>
      <c r="X278" s="42"/>
      <c r="Y278" s="42"/>
      <c r="Z278" s="42"/>
      <c r="AA278" s="42"/>
      <c r="AB278" s="42"/>
      <c r="AC278" s="51"/>
      <c r="AD278" s="52"/>
      <c r="AE278" s="16" t="s">
        <v>104</v>
      </c>
      <c r="AF278" s="52">
        <v>1</v>
      </c>
      <c r="AG278" s="58" t="s">
        <v>85</v>
      </c>
    </row>
    <row r="279" s="1" customFormat="1" ht="45" hidden="1" spans="1:33">
      <c r="A279" s="10">
        <v>274</v>
      </c>
      <c r="B279" s="31" t="s">
        <v>7</v>
      </c>
      <c r="C279" s="11" t="s">
        <v>596</v>
      </c>
      <c r="D279" s="15" t="s">
        <v>597</v>
      </c>
      <c r="E279" s="11" t="s">
        <v>686</v>
      </c>
      <c r="F279" s="11" t="s">
        <v>686</v>
      </c>
      <c r="G279" s="16" t="s">
        <v>107</v>
      </c>
      <c r="H279" s="16" t="s">
        <v>687</v>
      </c>
      <c r="I279" s="101" t="s">
        <v>177</v>
      </c>
      <c r="J279" s="31" t="s">
        <v>109</v>
      </c>
      <c r="K279" s="24">
        <v>8</v>
      </c>
      <c r="L279" s="25">
        <v>264.66</v>
      </c>
      <c r="M279" s="11">
        <v>2</v>
      </c>
      <c r="N279" s="14" t="s">
        <v>84</v>
      </c>
      <c r="O279" s="18" t="s">
        <v>27</v>
      </c>
      <c r="P279" s="25">
        <v>79.398</v>
      </c>
      <c r="Q279" s="95" t="s">
        <v>85</v>
      </c>
      <c r="R279" s="42"/>
      <c r="S279" s="42"/>
      <c r="T279" s="42"/>
      <c r="U279" s="42"/>
      <c r="V279" s="42"/>
      <c r="W279" s="42"/>
      <c r="X279" s="42"/>
      <c r="Y279" s="42"/>
      <c r="Z279" s="42"/>
      <c r="AA279" s="42"/>
      <c r="AB279" s="42"/>
      <c r="AC279" s="51"/>
      <c r="AD279" s="52"/>
      <c r="AE279" s="16"/>
      <c r="AF279" s="52">
        <v>1</v>
      </c>
      <c r="AG279" s="58" t="s">
        <v>85</v>
      </c>
    </row>
    <row r="280" s="1" customFormat="1" ht="56.25" hidden="1" spans="1:33">
      <c r="A280" s="10">
        <v>275</v>
      </c>
      <c r="B280" s="31" t="s">
        <v>7</v>
      </c>
      <c r="C280" s="11" t="s">
        <v>596</v>
      </c>
      <c r="D280" s="15" t="s">
        <v>597</v>
      </c>
      <c r="E280" s="11" t="s">
        <v>688</v>
      </c>
      <c r="F280" s="11" t="s">
        <v>688</v>
      </c>
      <c r="G280" s="16" t="s">
        <v>107</v>
      </c>
      <c r="H280" s="16" t="s">
        <v>689</v>
      </c>
      <c r="I280" s="101" t="s">
        <v>177</v>
      </c>
      <c r="J280" s="31" t="s">
        <v>109</v>
      </c>
      <c r="K280" s="24">
        <v>2</v>
      </c>
      <c r="L280" s="25">
        <v>64.84</v>
      </c>
      <c r="M280" s="11">
        <v>2</v>
      </c>
      <c r="N280" s="14" t="s">
        <v>84</v>
      </c>
      <c r="O280" s="18" t="s">
        <v>27</v>
      </c>
      <c r="P280" s="25">
        <v>19.452</v>
      </c>
      <c r="Q280" s="95" t="s">
        <v>85</v>
      </c>
      <c r="R280" s="42"/>
      <c r="S280" s="42"/>
      <c r="T280" s="42"/>
      <c r="U280" s="42"/>
      <c r="V280" s="42"/>
      <c r="W280" s="42"/>
      <c r="X280" s="42"/>
      <c r="Y280" s="42"/>
      <c r="Z280" s="42"/>
      <c r="AA280" s="42"/>
      <c r="AB280" s="42"/>
      <c r="AC280" s="51"/>
      <c r="AD280" s="52"/>
      <c r="AE280" s="16"/>
      <c r="AF280" s="52">
        <v>1</v>
      </c>
      <c r="AG280" s="58" t="s">
        <v>85</v>
      </c>
    </row>
    <row r="281" s="1" customFormat="1" ht="56.25" hidden="1" spans="1:33">
      <c r="A281" s="10">
        <v>276</v>
      </c>
      <c r="B281" s="31" t="s">
        <v>7</v>
      </c>
      <c r="C281" s="11" t="s">
        <v>596</v>
      </c>
      <c r="D281" s="15" t="s">
        <v>597</v>
      </c>
      <c r="E281" s="11" t="s">
        <v>690</v>
      </c>
      <c r="F281" s="11" t="s">
        <v>690</v>
      </c>
      <c r="G281" s="16" t="s">
        <v>107</v>
      </c>
      <c r="H281" s="16" t="s">
        <v>691</v>
      </c>
      <c r="I281" s="101" t="s">
        <v>82</v>
      </c>
      <c r="J281" s="31" t="s">
        <v>109</v>
      </c>
      <c r="K281" s="24">
        <v>3</v>
      </c>
      <c r="L281" s="25">
        <v>100.6</v>
      </c>
      <c r="M281" s="11">
        <v>2</v>
      </c>
      <c r="N281" s="14" t="s">
        <v>84</v>
      </c>
      <c r="O281" s="18" t="s">
        <v>27</v>
      </c>
      <c r="P281" s="25">
        <v>30.18</v>
      </c>
      <c r="Q281" s="95" t="s">
        <v>85</v>
      </c>
      <c r="R281" s="42"/>
      <c r="S281" s="42"/>
      <c r="T281" s="42"/>
      <c r="U281" s="42"/>
      <c r="V281" s="42"/>
      <c r="W281" s="42"/>
      <c r="X281" s="42"/>
      <c r="Y281" s="42"/>
      <c r="Z281" s="42"/>
      <c r="AA281" s="42"/>
      <c r="AB281" s="42"/>
      <c r="AC281" s="51"/>
      <c r="AD281" s="52"/>
      <c r="AE281" s="16"/>
      <c r="AF281" s="52">
        <v>1</v>
      </c>
      <c r="AG281" s="58" t="s">
        <v>85</v>
      </c>
    </row>
    <row r="282" s="1" customFormat="1" ht="45" hidden="1" spans="1:33">
      <c r="A282" s="10">
        <v>277</v>
      </c>
      <c r="B282" s="31" t="s">
        <v>7</v>
      </c>
      <c r="C282" s="11" t="s">
        <v>596</v>
      </c>
      <c r="D282" s="15" t="s">
        <v>597</v>
      </c>
      <c r="E282" s="11" t="s">
        <v>692</v>
      </c>
      <c r="F282" s="11" t="s">
        <v>692</v>
      </c>
      <c r="G282" s="16" t="s">
        <v>107</v>
      </c>
      <c r="H282" s="16" t="s">
        <v>693</v>
      </c>
      <c r="I282" s="101" t="s">
        <v>177</v>
      </c>
      <c r="J282" s="31" t="s">
        <v>109</v>
      </c>
      <c r="K282" s="24">
        <v>2</v>
      </c>
      <c r="L282" s="25">
        <v>93.21</v>
      </c>
      <c r="M282" s="11">
        <v>2</v>
      </c>
      <c r="N282" s="14" t="s">
        <v>84</v>
      </c>
      <c r="O282" s="18" t="s">
        <v>27</v>
      </c>
      <c r="P282" s="25">
        <v>27.963</v>
      </c>
      <c r="Q282" s="95" t="s">
        <v>85</v>
      </c>
      <c r="R282" s="42"/>
      <c r="S282" s="42"/>
      <c r="T282" s="42"/>
      <c r="U282" s="42"/>
      <c r="V282" s="42"/>
      <c r="W282" s="42"/>
      <c r="X282" s="42"/>
      <c r="Y282" s="42"/>
      <c r="Z282" s="42"/>
      <c r="AA282" s="42"/>
      <c r="AB282" s="42"/>
      <c r="AC282" s="51"/>
      <c r="AD282" s="52"/>
      <c r="AE282" s="16"/>
      <c r="AF282" s="52">
        <v>1</v>
      </c>
      <c r="AG282" s="58" t="s">
        <v>85</v>
      </c>
    </row>
    <row r="283" s="1" customFormat="1" ht="45" hidden="1" spans="1:33">
      <c r="A283" s="10">
        <v>278</v>
      </c>
      <c r="B283" s="31" t="s">
        <v>7</v>
      </c>
      <c r="C283" s="11" t="s">
        <v>596</v>
      </c>
      <c r="D283" s="15" t="s">
        <v>597</v>
      </c>
      <c r="E283" s="11" t="s">
        <v>694</v>
      </c>
      <c r="F283" s="11" t="s">
        <v>694</v>
      </c>
      <c r="G283" s="16" t="s">
        <v>107</v>
      </c>
      <c r="H283" s="16" t="s">
        <v>695</v>
      </c>
      <c r="I283" s="101" t="s">
        <v>177</v>
      </c>
      <c r="J283" s="31" t="s">
        <v>109</v>
      </c>
      <c r="K283" s="24">
        <v>1</v>
      </c>
      <c r="L283" s="25">
        <v>46.29</v>
      </c>
      <c r="M283" s="11">
        <v>2</v>
      </c>
      <c r="N283" s="14" t="s">
        <v>84</v>
      </c>
      <c r="O283" s="18" t="s">
        <v>27</v>
      </c>
      <c r="P283" s="25">
        <v>13.887</v>
      </c>
      <c r="Q283" s="95" t="s">
        <v>85</v>
      </c>
      <c r="R283" s="42"/>
      <c r="S283" s="42"/>
      <c r="T283" s="42"/>
      <c r="U283" s="42"/>
      <c r="V283" s="42"/>
      <c r="W283" s="42"/>
      <c r="X283" s="42"/>
      <c r="Y283" s="42"/>
      <c r="Z283" s="42"/>
      <c r="AA283" s="42"/>
      <c r="AB283" s="42"/>
      <c r="AC283" s="51"/>
      <c r="AD283" s="52"/>
      <c r="AE283" s="16" t="s">
        <v>104</v>
      </c>
      <c r="AF283" s="52">
        <v>1</v>
      </c>
      <c r="AG283" s="58" t="s">
        <v>85</v>
      </c>
    </row>
    <row r="284" s="1" customFormat="1" ht="45" hidden="1" spans="1:33">
      <c r="A284" s="10">
        <v>279</v>
      </c>
      <c r="B284" s="31" t="s">
        <v>7</v>
      </c>
      <c r="C284" s="11" t="s">
        <v>596</v>
      </c>
      <c r="D284" s="15" t="s">
        <v>597</v>
      </c>
      <c r="E284" s="11" t="s">
        <v>696</v>
      </c>
      <c r="F284" s="11" t="s">
        <v>696</v>
      </c>
      <c r="G284" s="16" t="s">
        <v>107</v>
      </c>
      <c r="H284" s="16" t="s">
        <v>697</v>
      </c>
      <c r="I284" s="101" t="s">
        <v>177</v>
      </c>
      <c r="J284" s="31" t="s">
        <v>109</v>
      </c>
      <c r="K284" s="24">
        <v>4</v>
      </c>
      <c r="L284" s="25">
        <v>167.13</v>
      </c>
      <c r="M284" s="11">
        <v>2</v>
      </c>
      <c r="N284" s="95" t="s">
        <v>84</v>
      </c>
      <c r="O284" s="18" t="s">
        <v>21</v>
      </c>
      <c r="P284" s="25">
        <v>26.7408</v>
      </c>
      <c r="Q284" s="95" t="s">
        <v>85</v>
      </c>
      <c r="R284" s="42"/>
      <c r="S284" s="42"/>
      <c r="T284" s="42"/>
      <c r="U284" s="42"/>
      <c r="V284" s="42"/>
      <c r="W284" s="42"/>
      <c r="X284" s="42"/>
      <c r="Y284" s="42"/>
      <c r="Z284" s="42"/>
      <c r="AA284" s="42"/>
      <c r="AB284" s="42"/>
      <c r="AC284" s="51"/>
      <c r="AD284" s="52"/>
      <c r="AE284" s="16" t="s">
        <v>104</v>
      </c>
      <c r="AF284" s="52">
        <v>1</v>
      </c>
      <c r="AG284" s="58" t="s">
        <v>85</v>
      </c>
    </row>
    <row r="285" s="1" customFormat="1" ht="45" hidden="1" spans="1:33">
      <c r="A285" s="10">
        <v>280</v>
      </c>
      <c r="B285" s="31" t="s">
        <v>7</v>
      </c>
      <c r="C285" s="11" t="s">
        <v>596</v>
      </c>
      <c r="D285" s="15" t="s">
        <v>597</v>
      </c>
      <c r="E285" s="11" t="s">
        <v>698</v>
      </c>
      <c r="F285" s="11" t="s">
        <v>698</v>
      </c>
      <c r="G285" s="16" t="s">
        <v>107</v>
      </c>
      <c r="H285" s="16" t="s">
        <v>699</v>
      </c>
      <c r="I285" s="101" t="s">
        <v>177</v>
      </c>
      <c r="J285" s="31" t="s">
        <v>109</v>
      </c>
      <c r="K285" s="24">
        <v>10</v>
      </c>
      <c r="L285" s="25">
        <v>402.02</v>
      </c>
      <c r="M285" s="11">
        <v>2</v>
      </c>
      <c r="N285" s="14" t="s">
        <v>84</v>
      </c>
      <c r="O285" s="18" t="s">
        <v>27</v>
      </c>
      <c r="P285" s="25">
        <v>120.606</v>
      </c>
      <c r="Q285" s="95" t="s">
        <v>85</v>
      </c>
      <c r="R285" s="42"/>
      <c r="S285" s="42"/>
      <c r="T285" s="42"/>
      <c r="U285" s="42"/>
      <c r="V285" s="42"/>
      <c r="W285" s="42"/>
      <c r="X285" s="42"/>
      <c r="Y285" s="42"/>
      <c r="Z285" s="42"/>
      <c r="AA285" s="42"/>
      <c r="AB285" s="42"/>
      <c r="AC285" s="51"/>
      <c r="AD285" s="52"/>
      <c r="AE285" s="16" t="s">
        <v>104</v>
      </c>
      <c r="AF285" s="52">
        <v>1</v>
      </c>
      <c r="AG285" s="58" t="s">
        <v>85</v>
      </c>
    </row>
    <row r="286" s="1" customFormat="1" ht="45" hidden="1" spans="1:33">
      <c r="A286" s="10">
        <v>281</v>
      </c>
      <c r="B286" s="31" t="s">
        <v>7</v>
      </c>
      <c r="C286" s="11" t="s">
        <v>572</v>
      </c>
      <c r="D286" s="12" t="s">
        <v>573</v>
      </c>
      <c r="E286" s="11" t="s">
        <v>700</v>
      </c>
      <c r="F286" s="11" t="s">
        <v>700</v>
      </c>
      <c r="G286" s="16" t="s">
        <v>107</v>
      </c>
      <c r="H286" s="99" t="s">
        <v>701</v>
      </c>
      <c r="I286" s="101" t="s">
        <v>177</v>
      </c>
      <c r="J286" s="31" t="s">
        <v>109</v>
      </c>
      <c r="K286" s="24">
        <v>3</v>
      </c>
      <c r="L286" s="25">
        <v>119.24</v>
      </c>
      <c r="M286" s="11">
        <v>2</v>
      </c>
      <c r="N286" s="95" t="s">
        <v>84</v>
      </c>
      <c r="O286" s="18" t="s">
        <v>27</v>
      </c>
      <c r="P286" s="25">
        <v>35.772</v>
      </c>
      <c r="Q286" s="95" t="s">
        <v>85</v>
      </c>
      <c r="R286" s="42"/>
      <c r="S286" s="42"/>
      <c r="T286" s="42"/>
      <c r="U286" s="42"/>
      <c r="V286" s="42"/>
      <c r="W286" s="42"/>
      <c r="X286" s="42"/>
      <c r="Y286" s="42"/>
      <c r="Z286" s="42"/>
      <c r="AA286" s="42"/>
      <c r="AB286" s="42"/>
      <c r="AC286" s="51"/>
      <c r="AD286" s="52"/>
      <c r="AE286" s="16" t="s">
        <v>104</v>
      </c>
      <c r="AF286" s="52">
        <v>1</v>
      </c>
      <c r="AG286" s="58" t="s">
        <v>85</v>
      </c>
    </row>
    <row r="287" s="1" customFormat="1" ht="45" hidden="1" spans="1:33">
      <c r="A287" s="10">
        <v>282</v>
      </c>
      <c r="B287" s="31" t="s">
        <v>7</v>
      </c>
      <c r="C287" s="11" t="s">
        <v>572</v>
      </c>
      <c r="D287" s="12" t="s">
        <v>573</v>
      </c>
      <c r="E287" s="11" t="s">
        <v>702</v>
      </c>
      <c r="F287" s="11" t="s">
        <v>702</v>
      </c>
      <c r="G287" s="16" t="s">
        <v>107</v>
      </c>
      <c r="H287" s="99" t="s">
        <v>703</v>
      </c>
      <c r="I287" s="101" t="s">
        <v>177</v>
      </c>
      <c r="J287" s="31" t="s">
        <v>109</v>
      </c>
      <c r="K287" s="24">
        <v>4</v>
      </c>
      <c r="L287" s="25">
        <v>90.45</v>
      </c>
      <c r="M287" s="11">
        <v>1</v>
      </c>
      <c r="N287" s="95" t="s">
        <v>84</v>
      </c>
      <c r="O287" s="18" t="s">
        <v>27</v>
      </c>
      <c r="P287" s="25">
        <v>27.135</v>
      </c>
      <c r="Q287" s="95" t="s">
        <v>85</v>
      </c>
      <c r="R287" s="42"/>
      <c r="S287" s="42"/>
      <c r="T287" s="42"/>
      <c r="U287" s="42"/>
      <c r="V287" s="42"/>
      <c r="W287" s="42"/>
      <c r="X287" s="42"/>
      <c r="Y287" s="42"/>
      <c r="Z287" s="42"/>
      <c r="AA287" s="42"/>
      <c r="AB287" s="42"/>
      <c r="AC287" s="51"/>
      <c r="AD287" s="52"/>
      <c r="AE287" s="16" t="s">
        <v>104</v>
      </c>
      <c r="AF287" s="52">
        <v>1</v>
      </c>
      <c r="AG287" s="58" t="s">
        <v>85</v>
      </c>
    </row>
    <row r="288" s="1" customFormat="1" ht="33.75" hidden="1" spans="1:33">
      <c r="A288" s="10">
        <v>283</v>
      </c>
      <c r="B288" s="16" t="s">
        <v>7</v>
      </c>
      <c r="C288" s="100" t="s">
        <v>572</v>
      </c>
      <c r="D288" s="100" t="s">
        <v>576</v>
      </c>
      <c r="E288" s="16" t="s">
        <v>704</v>
      </c>
      <c r="F288" s="16" t="s">
        <v>704</v>
      </c>
      <c r="G288" s="16" t="s">
        <v>107</v>
      </c>
      <c r="H288" s="99" t="s">
        <v>118</v>
      </c>
      <c r="I288" s="101" t="s">
        <v>177</v>
      </c>
      <c r="J288" s="26" t="s">
        <v>179</v>
      </c>
      <c r="K288" s="16">
        <v>1</v>
      </c>
      <c r="L288" s="16">
        <v>15.51</v>
      </c>
      <c r="M288" s="16">
        <v>2</v>
      </c>
      <c r="N288" s="23" t="s">
        <v>84</v>
      </c>
      <c r="O288" s="18" t="s">
        <v>21</v>
      </c>
      <c r="P288" s="105">
        <v>5.68</v>
      </c>
      <c r="Q288" s="88" t="s">
        <v>85</v>
      </c>
      <c r="R288" s="42"/>
      <c r="S288" s="42"/>
      <c r="T288" s="42"/>
      <c r="U288" s="42"/>
      <c r="V288" s="42"/>
      <c r="W288" s="42"/>
      <c r="X288" s="42"/>
      <c r="Y288" s="42"/>
      <c r="Z288" s="42"/>
      <c r="AA288" s="42"/>
      <c r="AB288" s="42"/>
      <c r="AC288" s="51"/>
      <c r="AD288" s="52"/>
      <c r="AE288" s="16" t="s">
        <v>104</v>
      </c>
      <c r="AF288" s="52">
        <v>1</v>
      </c>
      <c r="AG288" s="58" t="s">
        <v>85</v>
      </c>
    </row>
    <row r="289" s="1" customFormat="1" ht="45" hidden="1" spans="1:33">
      <c r="A289" s="10">
        <v>284</v>
      </c>
      <c r="B289" s="16" t="s">
        <v>7</v>
      </c>
      <c r="C289" s="16" t="s">
        <v>580</v>
      </c>
      <c r="D289" s="16" t="s">
        <v>581</v>
      </c>
      <c r="E289" s="16" t="s">
        <v>705</v>
      </c>
      <c r="F289" s="16" t="s">
        <v>705</v>
      </c>
      <c r="G289" s="16" t="s">
        <v>107</v>
      </c>
      <c r="H289" s="99" t="s">
        <v>706</v>
      </c>
      <c r="I289" s="101" t="s">
        <v>177</v>
      </c>
      <c r="J289" s="26" t="s">
        <v>109</v>
      </c>
      <c r="K289" s="16">
        <v>1</v>
      </c>
      <c r="L289" s="16">
        <v>35.09</v>
      </c>
      <c r="M289" s="16">
        <v>1</v>
      </c>
      <c r="N289" s="23" t="s">
        <v>89</v>
      </c>
      <c r="O289" s="18" t="s">
        <v>21</v>
      </c>
      <c r="P289" s="105">
        <v>5.6144</v>
      </c>
      <c r="Q289" s="88" t="s">
        <v>85</v>
      </c>
      <c r="R289" s="42"/>
      <c r="S289" s="42"/>
      <c r="T289" s="42"/>
      <c r="U289" s="42"/>
      <c r="V289" s="42"/>
      <c r="W289" s="42"/>
      <c r="X289" s="42"/>
      <c r="Y289" s="42"/>
      <c r="Z289" s="42"/>
      <c r="AA289" s="42"/>
      <c r="AB289" s="42"/>
      <c r="AC289" s="51"/>
      <c r="AD289" s="52"/>
      <c r="AE289" s="16" t="s">
        <v>104</v>
      </c>
      <c r="AF289" s="52">
        <v>1</v>
      </c>
      <c r="AG289" s="58" t="s">
        <v>85</v>
      </c>
    </row>
    <row r="290" s="1" customFormat="1" ht="33.75" hidden="1" spans="1:33">
      <c r="A290" s="10">
        <v>285</v>
      </c>
      <c r="B290" s="16" t="s">
        <v>7</v>
      </c>
      <c r="C290" s="98" t="s">
        <v>545</v>
      </c>
      <c r="D290" s="98" t="s">
        <v>603</v>
      </c>
      <c r="E290" s="16" t="s">
        <v>707</v>
      </c>
      <c r="F290" s="16" t="s">
        <v>707</v>
      </c>
      <c r="G290" s="16" t="s">
        <v>107</v>
      </c>
      <c r="H290" s="16" t="s">
        <v>118</v>
      </c>
      <c r="I290" s="101" t="s">
        <v>177</v>
      </c>
      <c r="J290" s="26" t="s">
        <v>109</v>
      </c>
      <c r="K290" s="16">
        <v>1</v>
      </c>
      <c r="L290" s="16">
        <v>23.84</v>
      </c>
      <c r="M290" s="16">
        <v>2</v>
      </c>
      <c r="N290" s="23" t="s">
        <v>84</v>
      </c>
      <c r="O290" s="18" t="s">
        <v>27</v>
      </c>
      <c r="P290" s="105">
        <v>7.152</v>
      </c>
      <c r="Q290" s="88" t="s">
        <v>85</v>
      </c>
      <c r="R290" s="42"/>
      <c r="S290" s="42"/>
      <c r="T290" s="42"/>
      <c r="U290" s="42"/>
      <c r="V290" s="42"/>
      <c r="W290" s="42"/>
      <c r="X290" s="42"/>
      <c r="Y290" s="42"/>
      <c r="Z290" s="42"/>
      <c r="AA290" s="42"/>
      <c r="AB290" s="42"/>
      <c r="AC290" s="51"/>
      <c r="AD290" s="52"/>
      <c r="AE290" s="16" t="s">
        <v>104</v>
      </c>
      <c r="AF290" s="52">
        <v>1</v>
      </c>
      <c r="AG290" s="58" t="s">
        <v>85</v>
      </c>
    </row>
    <row r="291" s="1" customFormat="1" ht="33.75" hidden="1" spans="1:33">
      <c r="A291" s="10">
        <v>286</v>
      </c>
      <c r="B291" s="16" t="s">
        <v>7</v>
      </c>
      <c r="C291" s="16" t="s">
        <v>572</v>
      </c>
      <c r="D291" s="100" t="s">
        <v>591</v>
      </c>
      <c r="E291" s="16" t="s">
        <v>708</v>
      </c>
      <c r="F291" s="16" t="s">
        <v>708</v>
      </c>
      <c r="G291" s="16" t="s">
        <v>107</v>
      </c>
      <c r="H291" s="99" t="s">
        <v>118</v>
      </c>
      <c r="I291" s="101" t="s">
        <v>177</v>
      </c>
      <c r="J291" s="26" t="s">
        <v>109</v>
      </c>
      <c r="K291" s="16">
        <v>1</v>
      </c>
      <c r="L291" s="16">
        <v>35.5</v>
      </c>
      <c r="M291" s="16">
        <v>2</v>
      </c>
      <c r="N291" s="23" t="s">
        <v>89</v>
      </c>
      <c r="O291" s="18" t="s">
        <v>21</v>
      </c>
      <c r="P291" s="105">
        <v>5.68</v>
      </c>
      <c r="Q291" s="88" t="s">
        <v>85</v>
      </c>
      <c r="R291" s="42"/>
      <c r="S291" s="42"/>
      <c r="T291" s="42"/>
      <c r="U291" s="42"/>
      <c r="V291" s="42"/>
      <c r="W291" s="42"/>
      <c r="X291" s="42"/>
      <c r="Y291" s="42"/>
      <c r="Z291" s="42"/>
      <c r="AA291" s="42"/>
      <c r="AB291" s="42"/>
      <c r="AC291" s="51"/>
      <c r="AD291" s="52"/>
      <c r="AE291" s="16" t="s">
        <v>104</v>
      </c>
      <c r="AF291" s="52">
        <v>1</v>
      </c>
      <c r="AG291" s="58" t="s">
        <v>85</v>
      </c>
    </row>
    <row r="292" s="1" customFormat="1" ht="45" hidden="1" spans="1:33">
      <c r="A292" s="10">
        <v>287</v>
      </c>
      <c r="B292" s="16" t="s">
        <v>7</v>
      </c>
      <c r="C292" s="16" t="s">
        <v>553</v>
      </c>
      <c r="D292" s="16" t="s">
        <v>153</v>
      </c>
      <c r="E292" s="16" t="s">
        <v>709</v>
      </c>
      <c r="F292" s="16" t="s">
        <v>709</v>
      </c>
      <c r="G292" s="16" t="s">
        <v>107</v>
      </c>
      <c r="H292" s="16" t="s">
        <v>710</v>
      </c>
      <c r="I292" s="101" t="s">
        <v>82</v>
      </c>
      <c r="J292" s="26" t="s">
        <v>109</v>
      </c>
      <c r="K292" s="16">
        <v>15</v>
      </c>
      <c r="L292" s="16">
        <v>622.56</v>
      </c>
      <c r="M292" s="16">
        <v>5</v>
      </c>
      <c r="N292" s="23" t="s">
        <v>89</v>
      </c>
      <c r="O292" s="18" t="s">
        <v>241</v>
      </c>
      <c r="P292" s="105">
        <v>99.6096</v>
      </c>
      <c r="Q292" s="88" t="s">
        <v>85</v>
      </c>
      <c r="R292" s="42"/>
      <c r="S292" s="42"/>
      <c r="T292" s="42"/>
      <c r="U292" s="42"/>
      <c r="V292" s="42"/>
      <c r="W292" s="42"/>
      <c r="X292" s="42"/>
      <c r="Y292" s="42"/>
      <c r="Z292" s="42"/>
      <c r="AA292" s="42"/>
      <c r="AB292" s="42"/>
      <c r="AC292" s="51"/>
      <c r="AD292" s="52"/>
      <c r="AE292" s="16" t="s">
        <v>104</v>
      </c>
      <c r="AF292" s="52">
        <v>1</v>
      </c>
      <c r="AG292" s="58" t="s">
        <v>85</v>
      </c>
    </row>
    <row r="293" s="1" customFormat="1" ht="45" hidden="1" spans="1:33">
      <c r="A293" s="10">
        <v>288</v>
      </c>
      <c r="B293" s="16" t="s">
        <v>7</v>
      </c>
      <c r="C293" s="100" t="s">
        <v>596</v>
      </c>
      <c r="D293" s="16" t="s">
        <v>651</v>
      </c>
      <c r="E293" s="16" t="s">
        <v>711</v>
      </c>
      <c r="F293" s="16" t="s">
        <v>711</v>
      </c>
      <c r="G293" s="16" t="s">
        <v>107</v>
      </c>
      <c r="H293" s="99" t="s">
        <v>712</v>
      </c>
      <c r="I293" s="101" t="s">
        <v>177</v>
      </c>
      <c r="J293" s="26" t="s">
        <v>109</v>
      </c>
      <c r="K293" s="16">
        <v>1</v>
      </c>
      <c r="L293" s="16">
        <v>16.46</v>
      </c>
      <c r="M293" s="16">
        <v>1</v>
      </c>
      <c r="N293" s="23" t="s">
        <v>84</v>
      </c>
      <c r="O293" s="18" t="s">
        <v>21</v>
      </c>
      <c r="P293" s="105">
        <v>2.6336</v>
      </c>
      <c r="Q293" s="88" t="s">
        <v>85</v>
      </c>
      <c r="R293" s="42"/>
      <c r="S293" s="42"/>
      <c r="T293" s="42"/>
      <c r="U293" s="42"/>
      <c r="V293" s="42"/>
      <c r="W293" s="42"/>
      <c r="X293" s="42"/>
      <c r="Y293" s="42"/>
      <c r="Z293" s="42"/>
      <c r="AA293" s="42"/>
      <c r="AB293" s="42"/>
      <c r="AC293" s="51"/>
      <c r="AD293" s="52"/>
      <c r="AE293" s="16" t="s">
        <v>104</v>
      </c>
      <c r="AF293" s="52">
        <v>1</v>
      </c>
      <c r="AG293" s="58" t="s">
        <v>85</v>
      </c>
    </row>
    <row r="294" s="1" customFormat="1" ht="45" hidden="1" spans="1:33">
      <c r="A294" s="10">
        <v>289</v>
      </c>
      <c r="B294" s="16" t="s">
        <v>7</v>
      </c>
      <c r="C294" s="98" t="s">
        <v>572</v>
      </c>
      <c r="D294" s="98" t="s">
        <v>624</v>
      </c>
      <c r="E294" s="16" t="s">
        <v>713</v>
      </c>
      <c r="F294" s="16" t="s">
        <v>713</v>
      </c>
      <c r="G294" s="16" t="s">
        <v>107</v>
      </c>
      <c r="H294" s="99" t="s">
        <v>714</v>
      </c>
      <c r="I294" s="101" t="s">
        <v>82</v>
      </c>
      <c r="J294" s="26" t="s">
        <v>109</v>
      </c>
      <c r="K294" s="16">
        <v>2</v>
      </c>
      <c r="L294" s="16">
        <v>61.51</v>
      </c>
      <c r="M294" s="16">
        <v>5</v>
      </c>
      <c r="N294" s="23" t="s">
        <v>89</v>
      </c>
      <c r="O294" s="18" t="s">
        <v>21</v>
      </c>
      <c r="P294" s="105">
        <v>9.8416</v>
      </c>
      <c r="Q294" s="88" t="s">
        <v>85</v>
      </c>
      <c r="R294" s="42"/>
      <c r="S294" s="42"/>
      <c r="T294" s="42"/>
      <c r="U294" s="42"/>
      <c r="V294" s="42"/>
      <c r="W294" s="42"/>
      <c r="X294" s="42"/>
      <c r="Y294" s="42"/>
      <c r="Z294" s="42"/>
      <c r="AA294" s="42"/>
      <c r="AB294" s="42"/>
      <c r="AC294" s="51"/>
      <c r="AD294" s="52"/>
      <c r="AE294" s="16" t="s">
        <v>104</v>
      </c>
      <c r="AF294" s="52">
        <v>1</v>
      </c>
      <c r="AG294" s="58" t="s">
        <v>85</v>
      </c>
    </row>
    <row r="295" s="1" customFormat="1" ht="45" hidden="1" spans="1:33">
      <c r="A295" s="10">
        <v>290</v>
      </c>
      <c r="B295" s="16" t="s">
        <v>7</v>
      </c>
      <c r="C295" s="16" t="s">
        <v>580</v>
      </c>
      <c r="D295" s="16" t="s">
        <v>632</v>
      </c>
      <c r="E295" s="16" t="s">
        <v>715</v>
      </c>
      <c r="F295" s="16" t="s">
        <v>715</v>
      </c>
      <c r="G295" s="16" t="s">
        <v>107</v>
      </c>
      <c r="H295" s="99" t="s">
        <v>716</v>
      </c>
      <c r="I295" s="101" t="s">
        <v>82</v>
      </c>
      <c r="J295" s="26" t="s">
        <v>109</v>
      </c>
      <c r="K295" s="16">
        <v>9</v>
      </c>
      <c r="L295" s="16">
        <v>276.95</v>
      </c>
      <c r="M295" s="16">
        <v>5</v>
      </c>
      <c r="N295" s="23" t="s">
        <v>89</v>
      </c>
      <c r="O295" s="18" t="s">
        <v>21</v>
      </c>
      <c r="P295" s="105">
        <v>44.312</v>
      </c>
      <c r="Q295" s="88" t="s">
        <v>85</v>
      </c>
      <c r="R295" s="42"/>
      <c r="S295" s="42"/>
      <c r="T295" s="42"/>
      <c r="U295" s="42"/>
      <c r="V295" s="42"/>
      <c r="W295" s="42"/>
      <c r="X295" s="42"/>
      <c r="Y295" s="42"/>
      <c r="Z295" s="42"/>
      <c r="AA295" s="42"/>
      <c r="AB295" s="42"/>
      <c r="AC295" s="51"/>
      <c r="AD295" s="52"/>
      <c r="AE295" s="16" t="s">
        <v>104</v>
      </c>
      <c r="AF295" s="52">
        <v>1</v>
      </c>
      <c r="AG295" s="58" t="s">
        <v>85</v>
      </c>
    </row>
    <row r="296" s="1" customFormat="1" ht="33.75" hidden="1" spans="1:33">
      <c r="A296" s="10">
        <v>291</v>
      </c>
      <c r="B296" s="16" t="s">
        <v>7</v>
      </c>
      <c r="C296" s="98" t="s">
        <v>545</v>
      </c>
      <c r="D296" s="98" t="s">
        <v>603</v>
      </c>
      <c r="E296" s="16" t="s">
        <v>717</v>
      </c>
      <c r="F296" s="16" t="s">
        <v>717</v>
      </c>
      <c r="G296" s="16" t="s">
        <v>107</v>
      </c>
      <c r="H296" s="16" t="s">
        <v>118</v>
      </c>
      <c r="I296" s="101" t="s">
        <v>82</v>
      </c>
      <c r="J296" s="26" t="s">
        <v>109</v>
      </c>
      <c r="K296" s="16">
        <v>1</v>
      </c>
      <c r="L296" s="16">
        <v>263.2</v>
      </c>
      <c r="M296" s="16">
        <v>4</v>
      </c>
      <c r="N296" s="23" t="s">
        <v>89</v>
      </c>
      <c r="O296" s="18" t="s">
        <v>21</v>
      </c>
      <c r="P296" s="105">
        <v>42.112</v>
      </c>
      <c r="Q296" s="88" t="s">
        <v>85</v>
      </c>
      <c r="R296" s="42"/>
      <c r="S296" s="42"/>
      <c r="T296" s="42"/>
      <c r="U296" s="42"/>
      <c r="V296" s="42"/>
      <c r="W296" s="42"/>
      <c r="X296" s="42"/>
      <c r="Y296" s="42"/>
      <c r="Z296" s="42"/>
      <c r="AA296" s="42"/>
      <c r="AB296" s="42"/>
      <c r="AC296" s="51"/>
      <c r="AD296" s="52"/>
      <c r="AE296" s="16" t="s">
        <v>104</v>
      </c>
      <c r="AF296" s="52">
        <v>1</v>
      </c>
      <c r="AG296" s="58" t="s">
        <v>85</v>
      </c>
    </row>
    <row r="297" s="1" customFormat="1" ht="33.75" hidden="1" spans="1:33">
      <c r="A297" s="10">
        <v>292</v>
      </c>
      <c r="B297" s="16" t="s">
        <v>7</v>
      </c>
      <c r="C297" s="98" t="s">
        <v>545</v>
      </c>
      <c r="D297" s="98" t="s">
        <v>603</v>
      </c>
      <c r="E297" s="16" t="s">
        <v>718</v>
      </c>
      <c r="F297" s="16" t="s">
        <v>718</v>
      </c>
      <c r="G297" s="16" t="s">
        <v>107</v>
      </c>
      <c r="H297" s="99" t="s">
        <v>118</v>
      </c>
      <c r="I297" s="101" t="s">
        <v>82</v>
      </c>
      <c r="J297" s="26" t="s">
        <v>179</v>
      </c>
      <c r="K297" s="16">
        <v>1</v>
      </c>
      <c r="L297" s="16">
        <v>405.13</v>
      </c>
      <c r="M297" s="16">
        <v>7</v>
      </c>
      <c r="N297" s="23" t="s">
        <v>89</v>
      </c>
      <c r="O297" s="18" t="s">
        <v>21</v>
      </c>
      <c r="P297" s="105">
        <v>64.8208</v>
      </c>
      <c r="Q297" s="88" t="s">
        <v>85</v>
      </c>
      <c r="R297" s="42"/>
      <c r="S297" s="42"/>
      <c r="T297" s="42"/>
      <c r="U297" s="42"/>
      <c r="V297" s="42"/>
      <c r="W297" s="42"/>
      <c r="X297" s="42"/>
      <c r="Y297" s="42"/>
      <c r="Z297" s="42"/>
      <c r="AA297" s="42"/>
      <c r="AB297" s="42"/>
      <c r="AC297" s="51"/>
      <c r="AD297" s="52"/>
      <c r="AE297" s="16" t="s">
        <v>104</v>
      </c>
      <c r="AF297" s="52">
        <v>1</v>
      </c>
      <c r="AG297" s="58" t="s">
        <v>85</v>
      </c>
    </row>
    <row r="298" s="1" customFormat="1" ht="33.75" hidden="1" spans="1:33">
      <c r="A298" s="10">
        <v>293</v>
      </c>
      <c r="B298" s="31" t="s">
        <v>7</v>
      </c>
      <c r="C298" s="11" t="s">
        <v>553</v>
      </c>
      <c r="D298" s="11" t="s">
        <v>153</v>
      </c>
      <c r="E298" s="11" t="s">
        <v>719</v>
      </c>
      <c r="F298" s="11" t="s">
        <v>719</v>
      </c>
      <c r="G298" s="16" t="s">
        <v>107</v>
      </c>
      <c r="H298" s="16" t="s">
        <v>118</v>
      </c>
      <c r="I298" s="101" t="s">
        <v>82</v>
      </c>
      <c r="J298" s="26" t="s">
        <v>109</v>
      </c>
      <c r="K298" s="19">
        <v>9</v>
      </c>
      <c r="L298" s="20">
        <v>493.56</v>
      </c>
      <c r="M298" s="11">
        <v>5</v>
      </c>
      <c r="N298" s="23" t="s">
        <v>89</v>
      </c>
      <c r="O298" s="18" t="s">
        <v>241</v>
      </c>
      <c r="P298" s="105">
        <v>78.9696</v>
      </c>
      <c r="Q298" s="88" t="s">
        <v>85</v>
      </c>
      <c r="R298" s="42"/>
      <c r="S298" s="42"/>
      <c r="T298" s="42"/>
      <c r="U298" s="42"/>
      <c r="V298" s="42"/>
      <c r="W298" s="42"/>
      <c r="X298" s="42"/>
      <c r="Y298" s="42"/>
      <c r="Z298" s="42"/>
      <c r="AA298" s="42"/>
      <c r="AB298" s="42"/>
      <c r="AC298" s="51"/>
      <c r="AD298" s="52"/>
      <c r="AE298" s="16" t="s">
        <v>104</v>
      </c>
      <c r="AF298" s="52">
        <v>1</v>
      </c>
      <c r="AG298" s="58" t="s">
        <v>85</v>
      </c>
    </row>
    <row r="299" s="1" customFormat="1" ht="33.75" hidden="1" spans="1:33">
      <c r="A299" s="10">
        <v>294</v>
      </c>
      <c r="B299" s="16" t="s">
        <v>7</v>
      </c>
      <c r="C299" s="98" t="s">
        <v>545</v>
      </c>
      <c r="D299" s="98" t="s">
        <v>603</v>
      </c>
      <c r="E299" s="16" t="s">
        <v>720</v>
      </c>
      <c r="F299" s="16" t="s">
        <v>720</v>
      </c>
      <c r="G299" s="16" t="s">
        <v>107</v>
      </c>
      <c r="H299" s="99" t="s">
        <v>118</v>
      </c>
      <c r="I299" s="101" t="s">
        <v>177</v>
      </c>
      <c r="J299" s="26" t="s">
        <v>109</v>
      </c>
      <c r="K299" s="16">
        <v>1</v>
      </c>
      <c r="L299" s="16">
        <v>21.13</v>
      </c>
      <c r="M299" s="16">
        <v>2</v>
      </c>
      <c r="N299" s="23" t="s">
        <v>89</v>
      </c>
      <c r="O299" s="18" t="s">
        <v>21</v>
      </c>
      <c r="P299" s="105">
        <v>3.3808</v>
      </c>
      <c r="Q299" s="88" t="s">
        <v>85</v>
      </c>
      <c r="R299" s="42"/>
      <c r="S299" s="42"/>
      <c r="T299" s="42"/>
      <c r="U299" s="42"/>
      <c r="V299" s="42"/>
      <c r="W299" s="42"/>
      <c r="X299" s="42"/>
      <c r="Y299" s="42"/>
      <c r="Z299" s="42"/>
      <c r="AA299" s="42"/>
      <c r="AB299" s="42"/>
      <c r="AC299" s="51"/>
      <c r="AD299" s="52"/>
      <c r="AE299" s="16" t="s">
        <v>104</v>
      </c>
      <c r="AF299" s="52">
        <v>1</v>
      </c>
      <c r="AG299" s="58" t="s">
        <v>85</v>
      </c>
    </row>
    <row r="300" s="1" customFormat="1" ht="45" hidden="1" spans="1:33">
      <c r="A300" s="10">
        <v>295</v>
      </c>
      <c r="B300" s="31" t="s">
        <v>7</v>
      </c>
      <c r="C300" s="11" t="s">
        <v>545</v>
      </c>
      <c r="D300" s="12" t="s">
        <v>550</v>
      </c>
      <c r="E300" s="11" t="s">
        <v>721</v>
      </c>
      <c r="F300" s="11" t="s">
        <v>721</v>
      </c>
      <c r="G300" s="16" t="s">
        <v>107</v>
      </c>
      <c r="H300" s="16" t="s">
        <v>722</v>
      </c>
      <c r="I300" s="101" t="s">
        <v>177</v>
      </c>
      <c r="J300" s="26" t="s">
        <v>109</v>
      </c>
      <c r="K300" s="19">
        <v>7</v>
      </c>
      <c r="L300" s="20">
        <v>328.61</v>
      </c>
      <c r="M300" s="21">
        <v>2</v>
      </c>
      <c r="N300" s="23" t="s">
        <v>84</v>
      </c>
      <c r="O300" s="18" t="s">
        <v>27</v>
      </c>
      <c r="P300" s="105">
        <v>98.583</v>
      </c>
      <c r="Q300" s="88" t="s">
        <v>85</v>
      </c>
      <c r="R300" s="42"/>
      <c r="S300" s="42"/>
      <c r="T300" s="42"/>
      <c r="U300" s="42"/>
      <c r="V300" s="42"/>
      <c r="W300" s="42"/>
      <c r="X300" s="42"/>
      <c r="Y300" s="42"/>
      <c r="Z300" s="42"/>
      <c r="AA300" s="42"/>
      <c r="AB300" s="42"/>
      <c r="AC300" s="51"/>
      <c r="AD300" s="52"/>
      <c r="AE300" s="16" t="s">
        <v>104</v>
      </c>
      <c r="AF300" s="52">
        <v>1</v>
      </c>
      <c r="AG300" s="58" t="s">
        <v>85</v>
      </c>
    </row>
    <row r="301" s="1" customFormat="1" ht="45" hidden="1" spans="1:33">
      <c r="A301" s="10">
        <v>296</v>
      </c>
      <c r="B301" s="31" t="s">
        <v>7</v>
      </c>
      <c r="C301" s="11" t="s">
        <v>580</v>
      </c>
      <c r="D301" s="11" t="s">
        <v>600</v>
      </c>
      <c r="E301" s="11" t="s">
        <v>723</v>
      </c>
      <c r="F301" s="11" t="s">
        <v>723</v>
      </c>
      <c r="G301" s="16" t="s">
        <v>107</v>
      </c>
      <c r="H301" s="99" t="s">
        <v>724</v>
      </c>
      <c r="I301" s="101" t="s">
        <v>82</v>
      </c>
      <c r="J301" s="26" t="s">
        <v>109</v>
      </c>
      <c r="K301" s="19">
        <v>15</v>
      </c>
      <c r="L301" s="20">
        <v>570.71</v>
      </c>
      <c r="M301" s="11">
        <v>5</v>
      </c>
      <c r="N301" s="23" t="s">
        <v>84</v>
      </c>
      <c r="O301" s="18" t="s">
        <v>27</v>
      </c>
      <c r="P301" s="105">
        <v>171.213</v>
      </c>
      <c r="Q301" s="88" t="s">
        <v>85</v>
      </c>
      <c r="R301" s="42"/>
      <c r="S301" s="42"/>
      <c r="T301" s="42"/>
      <c r="U301" s="42"/>
      <c r="V301" s="42"/>
      <c r="W301" s="42"/>
      <c r="X301" s="42"/>
      <c r="Y301" s="42"/>
      <c r="Z301" s="42"/>
      <c r="AA301" s="42"/>
      <c r="AB301" s="42"/>
      <c r="AC301" s="51"/>
      <c r="AD301" s="52"/>
      <c r="AE301" s="16" t="s">
        <v>104</v>
      </c>
      <c r="AF301" s="52">
        <v>1</v>
      </c>
      <c r="AG301" s="58" t="s">
        <v>85</v>
      </c>
    </row>
    <row r="302" s="1" customFormat="1" ht="45" hidden="1" spans="1:33">
      <c r="A302" s="10">
        <v>297</v>
      </c>
      <c r="B302" s="31" t="s">
        <v>7</v>
      </c>
      <c r="C302" s="11" t="s">
        <v>580</v>
      </c>
      <c r="D302" s="11" t="s">
        <v>600</v>
      </c>
      <c r="E302" s="11" t="s">
        <v>725</v>
      </c>
      <c r="F302" s="11" t="s">
        <v>725</v>
      </c>
      <c r="G302" s="16" t="s">
        <v>107</v>
      </c>
      <c r="H302" s="99" t="s">
        <v>726</v>
      </c>
      <c r="I302" s="101" t="s">
        <v>82</v>
      </c>
      <c r="J302" s="26" t="s">
        <v>109</v>
      </c>
      <c r="K302" s="19">
        <v>28</v>
      </c>
      <c r="L302" s="20">
        <v>1215.78</v>
      </c>
      <c r="M302" s="11">
        <v>3</v>
      </c>
      <c r="N302" s="23" t="s">
        <v>84</v>
      </c>
      <c r="O302" s="18" t="s">
        <v>27</v>
      </c>
      <c r="P302" s="105">
        <v>364.734</v>
      </c>
      <c r="Q302" s="88" t="s">
        <v>85</v>
      </c>
      <c r="R302" s="42"/>
      <c r="S302" s="42"/>
      <c r="T302" s="42"/>
      <c r="U302" s="42"/>
      <c r="V302" s="42"/>
      <c r="W302" s="42"/>
      <c r="X302" s="42"/>
      <c r="Y302" s="42"/>
      <c r="Z302" s="42"/>
      <c r="AA302" s="42"/>
      <c r="AB302" s="42"/>
      <c r="AC302" s="51"/>
      <c r="AD302" s="52"/>
      <c r="AE302" s="16"/>
      <c r="AF302" s="52">
        <v>1</v>
      </c>
      <c r="AG302" s="58" t="s">
        <v>85</v>
      </c>
    </row>
    <row r="303" s="1" customFormat="1" ht="45" hidden="1" spans="1:33">
      <c r="A303" s="10">
        <v>298</v>
      </c>
      <c r="B303" s="31" t="s">
        <v>7</v>
      </c>
      <c r="C303" s="11" t="s">
        <v>580</v>
      </c>
      <c r="D303" s="11" t="s">
        <v>600</v>
      </c>
      <c r="E303" s="11" t="s">
        <v>727</v>
      </c>
      <c r="F303" s="11" t="s">
        <v>727</v>
      </c>
      <c r="G303" s="16" t="s">
        <v>107</v>
      </c>
      <c r="H303" s="99" t="s">
        <v>728</v>
      </c>
      <c r="I303" s="101" t="s">
        <v>177</v>
      </c>
      <c r="J303" s="26" t="s">
        <v>109</v>
      </c>
      <c r="K303" s="19">
        <v>29</v>
      </c>
      <c r="L303" s="20">
        <v>1215.78</v>
      </c>
      <c r="M303" s="11">
        <v>3</v>
      </c>
      <c r="N303" s="23" t="s">
        <v>84</v>
      </c>
      <c r="O303" s="18" t="s">
        <v>27</v>
      </c>
      <c r="P303" s="105">
        <v>364.734</v>
      </c>
      <c r="Q303" s="88" t="s">
        <v>85</v>
      </c>
      <c r="R303" s="42"/>
      <c r="S303" s="42"/>
      <c r="T303" s="42"/>
      <c r="U303" s="42"/>
      <c r="V303" s="42"/>
      <c r="W303" s="42"/>
      <c r="X303" s="42"/>
      <c r="Y303" s="42"/>
      <c r="Z303" s="42"/>
      <c r="AA303" s="42"/>
      <c r="AB303" s="42"/>
      <c r="AC303" s="51"/>
      <c r="AD303" s="52"/>
      <c r="AE303" s="16"/>
      <c r="AF303" s="52">
        <v>1</v>
      </c>
      <c r="AG303" s="58" t="s">
        <v>85</v>
      </c>
    </row>
    <row r="304" s="1" customFormat="1" ht="45" hidden="1" spans="1:33">
      <c r="A304" s="10">
        <v>299</v>
      </c>
      <c r="B304" s="16" t="s">
        <v>7</v>
      </c>
      <c r="C304" s="100" t="s">
        <v>729</v>
      </c>
      <c r="D304" s="100" t="s">
        <v>730</v>
      </c>
      <c r="E304" s="16" t="s">
        <v>731</v>
      </c>
      <c r="F304" s="16" t="s">
        <v>731</v>
      </c>
      <c r="G304" s="16" t="s">
        <v>107</v>
      </c>
      <c r="H304" s="16" t="s">
        <v>732</v>
      </c>
      <c r="I304" s="101" t="s">
        <v>177</v>
      </c>
      <c r="J304" s="26" t="s">
        <v>109</v>
      </c>
      <c r="K304" s="16">
        <v>2</v>
      </c>
      <c r="L304" s="16">
        <v>371.45</v>
      </c>
      <c r="M304" s="16">
        <v>2</v>
      </c>
      <c r="N304" s="23" t="s">
        <v>89</v>
      </c>
      <c r="O304" s="18" t="s">
        <v>241</v>
      </c>
      <c r="P304" s="105">
        <v>59.432</v>
      </c>
      <c r="Q304" s="88" t="s">
        <v>86</v>
      </c>
      <c r="R304" s="42"/>
      <c r="S304" s="42"/>
      <c r="T304" s="42"/>
      <c r="U304" s="42"/>
      <c r="V304" s="42"/>
      <c r="W304" s="42"/>
      <c r="X304" s="42"/>
      <c r="Y304" s="42"/>
      <c r="Z304" s="42"/>
      <c r="AA304" s="42"/>
      <c r="AB304" s="42"/>
      <c r="AC304" s="51"/>
      <c r="AD304" s="52"/>
      <c r="AE304" s="16"/>
      <c r="AF304" s="52">
        <v>1</v>
      </c>
      <c r="AG304" s="58" t="s">
        <v>85</v>
      </c>
    </row>
    <row r="305" s="1" customFormat="1" ht="45" hidden="1" spans="1:33">
      <c r="A305" s="10">
        <v>300</v>
      </c>
      <c r="B305" s="16" t="s">
        <v>7</v>
      </c>
      <c r="C305" s="100" t="s">
        <v>729</v>
      </c>
      <c r="D305" s="100" t="s">
        <v>730</v>
      </c>
      <c r="E305" s="16" t="s">
        <v>733</v>
      </c>
      <c r="F305" s="16" t="s">
        <v>733</v>
      </c>
      <c r="G305" s="16" t="s">
        <v>107</v>
      </c>
      <c r="H305" s="16" t="s">
        <v>734</v>
      </c>
      <c r="I305" s="101" t="s">
        <v>177</v>
      </c>
      <c r="J305" s="26" t="s">
        <v>109</v>
      </c>
      <c r="K305" s="16">
        <v>2</v>
      </c>
      <c r="L305" s="16">
        <v>61.9</v>
      </c>
      <c r="M305" s="16">
        <v>1</v>
      </c>
      <c r="N305" s="23" t="s">
        <v>89</v>
      </c>
      <c r="O305" s="18" t="s">
        <v>241</v>
      </c>
      <c r="P305" s="105">
        <v>9.904</v>
      </c>
      <c r="Q305" s="88" t="s">
        <v>86</v>
      </c>
      <c r="R305" s="42"/>
      <c r="S305" s="42"/>
      <c r="T305" s="42"/>
      <c r="U305" s="42"/>
      <c r="V305" s="42"/>
      <c r="W305" s="42"/>
      <c r="X305" s="42"/>
      <c r="Y305" s="42"/>
      <c r="Z305" s="42"/>
      <c r="AA305" s="42"/>
      <c r="AB305" s="42"/>
      <c r="AC305" s="51"/>
      <c r="AD305" s="52"/>
      <c r="AE305" s="16"/>
      <c r="AF305" s="52">
        <v>1</v>
      </c>
      <c r="AG305" s="58" t="s">
        <v>85</v>
      </c>
    </row>
    <row r="306" s="1" customFormat="1" ht="45" hidden="1" spans="1:33">
      <c r="A306" s="10">
        <v>301</v>
      </c>
      <c r="B306" s="16" t="s">
        <v>7</v>
      </c>
      <c r="C306" s="100" t="s">
        <v>729</v>
      </c>
      <c r="D306" s="100" t="s">
        <v>730</v>
      </c>
      <c r="E306" s="16" t="s">
        <v>735</v>
      </c>
      <c r="F306" s="16" t="s">
        <v>735</v>
      </c>
      <c r="G306" s="16" t="s">
        <v>107</v>
      </c>
      <c r="H306" s="16" t="s">
        <v>736</v>
      </c>
      <c r="I306" s="101" t="s">
        <v>177</v>
      </c>
      <c r="J306" s="26" t="s">
        <v>109</v>
      </c>
      <c r="K306" s="16">
        <v>5</v>
      </c>
      <c r="L306" s="16">
        <v>154.2</v>
      </c>
      <c r="M306" s="16">
        <v>1</v>
      </c>
      <c r="N306" s="23" t="s">
        <v>84</v>
      </c>
      <c r="O306" s="18" t="s">
        <v>241</v>
      </c>
      <c r="P306" s="105">
        <v>24.672</v>
      </c>
      <c r="Q306" s="88" t="s">
        <v>86</v>
      </c>
      <c r="R306" s="42"/>
      <c r="S306" s="42"/>
      <c r="T306" s="42"/>
      <c r="U306" s="42"/>
      <c r="V306" s="42"/>
      <c r="W306" s="42"/>
      <c r="X306" s="42"/>
      <c r="Y306" s="42"/>
      <c r="Z306" s="42"/>
      <c r="AA306" s="42"/>
      <c r="AB306" s="42"/>
      <c r="AC306" s="51"/>
      <c r="AD306" s="52"/>
      <c r="AE306" s="16"/>
      <c r="AF306" s="52">
        <v>1</v>
      </c>
      <c r="AG306" s="58" t="s">
        <v>85</v>
      </c>
    </row>
    <row r="307" s="1" customFormat="1" ht="45" hidden="1" spans="1:33">
      <c r="A307" s="10">
        <v>302</v>
      </c>
      <c r="B307" s="31" t="s">
        <v>7</v>
      </c>
      <c r="C307" s="11" t="s">
        <v>545</v>
      </c>
      <c r="D307" s="12" t="s">
        <v>603</v>
      </c>
      <c r="E307" s="11" t="s">
        <v>737</v>
      </c>
      <c r="F307" s="11" t="s">
        <v>737</v>
      </c>
      <c r="G307" s="16" t="s">
        <v>107</v>
      </c>
      <c r="H307" s="99" t="s">
        <v>738</v>
      </c>
      <c r="I307" s="101" t="s">
        <v>177</v>
      </c>
      <c r="J307" s="26" t="s">
        <v>109</v>
      </c>
      <c r="K307" s="19">
        <v>9</v>
      </c>
      <c r="L307" s="20">
        <v>246.27</v>
      </c>
      <c r="M307" s="11">
        <v>2</v>
      </c>
      <c r="N307" s="23" t="s">
        <v>89</v>
      </c>
      <c r="O307" s="18" t="s">
        <v>241</v>
      </c>
      <c r="P307" s="105">
        <v>73.881</v>
      </c>
      <c r="Q307" s="88" t="s">
        <v>86</v>
      </c>
      <c r="R307" s="42"/>
      <c r="S307" s="42"/>
      <c r="T307" s="42"/>
      <c r="U307" s="42"/>
      <c r="V307" s="42"/>
      <c r="W307" s="42"/>
      <c r="X307" s="42"/>
      <c r="Y307" s="42"/>
      <c r="Z307" s="42"/>
      <c r="AA307" s="42"/>
      <c r="AB307" s="42"/>
      <c r="AC307" s="51"/>
      <c r="AD307" s="52"/>
      <c r="AE307" s="16"/>
      <c r="AF307" s="52">
        <v>1</v>
      </c>
      <c r="AG307" s="58" t="s">
        <v>85</v>
      </c>
    </row>
    <row r="308" s="1" customFormat="1" ht="33.75" hidden="1" spans="1:33">
      <c r="A308" s="10">
        <v>303</v>
      </c>
      <c r="B308" s="16" t="s">
        <v>7</v>
      </c>
      <c r="C308" s="98" t="s">
        <v>545</v>
      </c>
      <c r="D308" s="98" t="s">
        <v>603</v>
      </c>
      <c r="E308" s="16" t="s">
        <v>739</v>
      </c>
      <c r="F308" s="16" t="s">
        <v>739</v>
      </c>
      <c r="G308" s="16" t="s">
        <v>107</v>
      </c>
      <c r="H308" s="16" t="s">
        <v>118</v>
      </c>
      <c r="I308" s="101" t="s">
        <v>177</v>
      </c>
      <c r="J308" s="26" t="s">
        <v>109</v>
      </c>
      <c r="K308" s="16">
        <v>3</v>
      </c>
      <c r="L308" s="16">
        <v>62.16</v>
      </c>
      <c r="M308" s="16">
        <v>2</v>
      </c>
      <c r="N308" s="23" t="s">
        <v>84</v>
      </c>
      <c r="O308" s="18" t="s">
        <v>241</v>
      </c>
      <c r="P308" s="105">
        <v>18.648</v>
      </c>
      <c r="Q308" s="88" t="s">
        <v>86</v>
      </c>
      <c r="R308" s="42"/>
      <c r="S308" s="42"/>
      <c r="T308" s="42"/>
      <c r="U308" s="42"/>
      <c r="V308" s="42"/>
      <c r="W308" s="42"/>
      <c r="X308" s="42"/>
      <c r="Y308" s="42"/>
      <c r="Z308" s="42"/>
      <c r="AA308" s="42"/>
      <c r="AB308" s="42"/>
      <c r="AC308" s="51"/>
      <c r="AD308" s="52"/>
      <c r="AE308" s="16"/>
      <c r="AF308" s="52">
        <v>1</v>
      </c>
      <c r="AG308" s="58" t="s">
        <v>85</v>
      </c>
    </row>
    <row r="309" s="1" customFormat="1" ht="33.75" hidden="1" spans="1:33">
      <c r="A309" s="10">
        <v>304</v>
      </c>
      <c r="B309" s="16" t="s">
        <v>7</v>
      </c>
      <c r="C309" s="98" t="s">
        <v>545</v>
      </c>
      <c r="D309" s="98" t="s">
        <v>603</v>
      </c>
      <c r="E309" s="16" t="s">
        <v>740</v>
      </c>
      <c r="F309" s="16" t="s">
        <v>740</v>
      </c>
      <c r="G309" s="16" t="s">
        <v>107</v>
      </c>
      <c r="H309" s="16" t="s">
        <v>118</v>
      </c>
      <c r="I309" s="101" t="s">
        <v>177</v>
      </c>
      <c r="J309" s="26" t="s">
        <v>109</v>
      </c>
      <c r="K309" s="16">
        <v>1</v>
      </c>
      <c r="L309" s="16">
        <v>48</v>
      </c>
      <c r="M309" s="16">
        <v>2</v>
      </c>
      <c r="N309" s="23" t="s">
        <v>84</v>
      </c>
      <c r="O309" s="18" t="s">
        <v>241</v>
      </c>
      <c r="P309" s="105">
        <v>14.4</v>
      </c>
      <c r="Q309" s="88" t="s">
        <v>86</v>
      </c>
      <c r="R309" s="42"/>
      <c r="S309" s="42"/>
      <c r="T309" s="42"/>
      <c r="U309" s="42"/>
      <c r="V309" s="42"/>
      <c r="W309" s="42"/>
      <c r="X309" s="42"/>
      <c r="Y309" s="42"/>
      <c r="Z309" s="42"/>
      <c r="AA309" s="42"/>
      <c r="AB309" s="42"/>
      <c r="AC309" s="51"/>
      <c r="AD309" s="52"/>
      <c r="AE309" s="16"/>
      <c r="AF309" s="52">
        <v>1</v>
      </c>
      <c r="AG309" s="58" t="s">
        <v>85</v>
      </c>
    </row>
    <row r="310" s="1" customFormat="1" ht="45" hidden="1" spans="1:33">
      <c r="A310" s="10">
        <v>305</v>
      </c>
      <c r="B310" s="31" t="s">
        <v>7</v>
      </c>
      <c r="C310" s="11" t="s">
        <v>545</v>
      </c>
      <c r="D310" s="11" t="s">
        <v>603</v>
      </c>
      <c r="E310" s="11" t="s">
        <v>741</v>
      </c>
      <c r="F310" s="11" t="s">
        <v>741</v>
      </c>
      <c r="G310" s="16" t="s">
        <v>107</v>
      </c>
      <c r="H310" s="99" t="s">
        <v>742</v>
      </c>
      <c r="I310" s="101" t="s">
        <v>177</v>
      </c>
      <c r="J310" s="26" t="s">
        <v>109</v>
      </c>
      <c r="K310" s="19">
        <v>3</v>
      </c>
      <c r="L310" s="20">
        <v>223.87</v>
      </c>
      <c r="M310" s="11">
        <v>2</v>
      </c>
      <c r="N310" s="23" t="s">
        <v>89</v>
      </c>
      <c r="O310" s="18" t="s">
        <v>241</v>
      </c>
      <c r="P310" s="105">
        <v>35.8192</v>
      </c>
      <c r="Q310" s="88" t="s">
        <v>86</v>
      </c>
      <c r="R310" s="42"/>
      <c r="S310" s="42"/>
      <c r="T310" s="42"/>
      <c r="U310" s="42"/>
      <c r="V310" s="42"/>
      <c r="W310" s="42"/>
      <c r="X310" s="42"/>
      <c r="Y310" s="42"/>
      <c r="Z310" s="42"/>
      <c r="AA310" s="42"/>
      <c r="AB310" s="42"/>
      <c r="AC310" s="51"/>
      <c r="AD310" s="52"/>
      <c r="AE310" s="16"/>
      <c r="AF310" s="52">
        <v>1</v>
      </c>
      <c r="AG310" s="58" t="s">
        <v>85</v>
      </c>
    </row>
    <row r="311" s="1" customFormat="1" ht="45" hidden="1" spans="1:33">
      <c r="A311" s="10">
        <v>306</v>
      </c>
      <c r="B311" s="31" t="s">
        <v>7</v>
      </c>
      <c r="C311" s="11" t="s">
        <v>545</v>
      </c>
      <c r="D311" s="11" t="s">
        <v>603</v>
      </c>
      <c r="E311" s="11" t="s">
        <v>743</v>
      </c>
      <c r="F311" s="11" t="s">
        <v>743</v>
      </c>
      <c r="G311" s="16" t="s">
        <v>107</v>
      </c>
      <c r="H311" s="99" t="s">
        <v>744</v>
      </c>
      <c r="I311" s="101" t="s">
        <v>177</v>
      </c>
      <c r="J311" s="26" t="s">
        <v>109</v>
      </c>
      <c r="K311" s="19">
        <v>4</v>
      </c>
      <c r="L311" s="20">
        <v>128.84</v>
      </c>
      <c r="M311" s="11">
        <v>2</v>
      </c>
      <c r="N311" s="23" t="s">
        <v>89</v>
      </c>
      <c r="O311" s="18" t="s">
        <v>241</v>
      </c>
      <c r="P311" s="105">
        <v>20.6144</v>
      </c>
      <c r="Q311" s="88" t="s">
        <v>86</v>
      </c>
      <c r="R311" s="42"/>
      <c r="S311" s="42"/>
      <c r="T311" s="42"/>
      <c r="U311" s="42"/>
      <c r="V311" s="42"/>
      <c r="W311" s="42"/>
      <c r="X311" s="42"/>
      <c r="Y311" s="42"/>
      <c r="Z311" s="42"/>
      <c r="AA311" s="42"/>
      <c r="AB311" s="42"/>
      <c r="AC311" s="51"/>
      <c r="AD311" s="52"/>
      <c r="AE311" s="16"/>
      <c r="AF311" s="52">
        <v>1</v>
      </c>
      <c r="AG311" s="58" t="s">
        <v>85</v>
      </c>
    </row>
    <row r="312" s="1" customFormat="1" ht="45" hidden="1" spans="1:33">
      <c r="A312" s="10">
        <v>307</v>
      </c>
      <c r="B312" s="31" t="s">
        <v>7</v>
      </c>
      <c r="C312" s="11" t="s">
        <v>545</v>
      </c>
      <c r="D312" s="11" t="s">
        <v>603</v>
      </c>
      <c r="E312" s="11" t="s">
        <v>745</v>
      </c>
      <c r="F312" s="11" t="s">
        <v>745</v>
      </c>
      <c r="G312" s="16" t="s">
        <v>107</v>
      </c>
      <c r="H312" s="99" t="s">
        <v>746</v>
      </c>
      <c r="I312" s="101" t="s">
        <v>177</v>
      </c>
      <c r="J312" s="26" t="s">
        <v>109</v>
      </c>
      <c r="K312" s="19">
        <v>2</v>
      </c>
      <c r="L312" s="20">
        <v>64.97</v>
      </c>
      <c r="M312" s="11">
        <v>2</v>
      </c>
      <c r="N312" s="23" t="s">
        <v>89</v>
      </c>
      <c r="O312" s="18" t="s">
        <v>241</v>
      </c>
      <c r="P312" s="105">
        <v>10.3952</v>
      </c>
      <c r="Q312" s="88" t="s">
        <v>86</v>
      </c>
      <c r="R312" s="42"/>
      <c r="S312" s="42"/>
      <c r="T312" s="42"/>
      <c r="U312" s="42"/>
      <c r="V312" s="42"/>
      <c r="W312" s="42"/>
      <c r="X312" s="42"/>
      <c r="Y312" s="42"/>
      <c r="Z312" s="42"/>
      <c r="AA312" s="42"/>
      <c r="AB312" s="42"/>
      <c r="AC312" s="51"/>
      <c r="AD312" s="52"/>
      <c r="AE312" s="16"/>
      <c r="AF312" s="52">
        <v>1</v>
      </c>
      <c r="AG312" s="58" t="s">
        <v>85</v>
      </c>
    </row>
    <row r="313" s="1" customFormat="1" ht="45" hidden="1" spans="1:33">
      <c r="A313" s="10">
        <v>308</v>
      </c>
      <c r="B313" s="31" t="s">
        <v>7</v>
      </c>
      <c r="C313" s="11" t="s">
        <v>545</v>
      </c>
      <c r="D313" s="11" t="s">
        <v>603</v>
      </c>
      <c r="E313" s="11" t="s">
        <v>747</v>
      </c>
      <c r="F313" s="11" t="s">
        <v>747</v>
      </c>
      <c r="G313" s="16" t="s">
        <v>107</v>
      </c>
      <c r="H313" s="99" t="s">
        <v>748</v>
      </c>
      <c r="I313" s="101" t="s">
        <v>177</v>
      </c>
      <c r="J313" s="26" t="s">
        <v>109</v>
      </c>
      <c r="K313" s="19">
        <v>3</v>
      </c>
      <c r="L313" s="20">
        <v>139.63</v>
      </c>
      <c r="M313" s="11">
        <v>1</v>
      </c>
      <c r="N313" s="23" t="s">
        <v>89</v>
      </c>
      <c r="O313" s="18" t="s">
        <v>241</v>
      </c>
      <c r="P313" s="105">
        <v>41.889</v>
      </c>
      <c r="Q313" s="88" t="s">
        <v>86</v>
      </c>
      <c r="R313" s="42"/>
      <c r="S313" s="42"/>
      <c r="T313" s="42"/>
      <c r="U313" s="42"/>
      <c r="V313" s="42"/>
      <c r="W313" s="42"/>
      <c r="X313" s="42"/>
      <c r="Y313" s="42"/>
      <c r="Z313" s="42"/>
      <c r="AA313" s="42"/>
      <c r="AB313" s="42"/>
      <c r="AC313" s="51"/>
      <c r="AD313" s="52"/>
      <c r="AE313" s="16"/>
      <c r="AF313" s="52">
        <v>1</v>
      </c>
      <c r="AG313" s="58" t="s">
        <v>85</v>
      </c>
    </row>
    <row r="314" s="1" customFormat="1" ht="45" hidden="1" spans="1:33">
      <c r="A314" s="10">
        <v>309</v>
      </c>
      <c r="B314" s="31" t="s">
        <v>7</v>
      </c>
      <c r="C314" s="11" t="s">
        <v>545</v>
      </c>
      <c r="D314" s="11" t="s">
        <v>603</v>
      </c>
      <c r="E314" s="11" t="s">
        <v>749</v>
      </c>
      <c r="F314" s="11" t="s">
        <v>749</v>
      </c>
      <c r="G314" s="16" t="s">
        <v>107</v>
      </c>
      <c r="H314" s="99" t="s">
        <v>750</v>
      </c>
      <c r="I314" s="101" t="s">
        <v>177</v>
      </c>
      <c r="J314" s="26" t="s">
        <v>109</v>
      </c>
      <c r="K314" s="19">
        <v>6</v>
      </c>
      <c r="L314" s="20">
        <v>272.05</v>
      </c>
      <c r="M314" s="11">
        <v>2</v>
      </c>
      <c r="N314" s="23" t="s">
        <v>84</v>
      </c>
      <c r="O314" s="18" t="s">
        <v>241</v>
      </c>
      <c r="P314" s="105">
        <v>43.528</v>
      </c>
      <c r="Q314" s="88" t="s">
        <v>86</v>
      </c>
      <c r="R314" s="42"/>
      <c r="S314" s="42"/>
      <c r="T314" s="42"/>
      <c r="U314" s="42"/>
      <c r="V314" s="42"/>
      <c r="W314" s="42"/>
      <c r="X314" s="42"/>
      <c r="Y314" s="42"/>
      <c r="Z314" s="42"/>
      <c r="AA314" s="42"/>
      <c r="AB314" s="42"/>
      <c r="AC314" s="51"/>
      <c r="AD314" s="52"/>
      <c r="AE314" s="16"/>
      <c r="AF314" s="52">
        <v>1</v>
      </c>
      <c r="AG314" s="58" t="s">
        <v>85</v>
      </c>
    </row>
    <row r="315" s="1" customFormat="1" ht="45" hidden="1" spans="1:33">
      <c r="A315" s="10">
        <v>310</v>
      </c>
      <c r="B315" s="31" t="s">
        <v>7</v>
      </c>
      <c r="C315" s="11" t="s">
        <v>545</v>
      </c>
      <c r="D315" s="12" t="s">
        <v>550</v>
      </c>
      <c r="E315" s="11" t="s">
        <v>751</v>
      </c>
      <c r="F315" s="11" t="s">
        <v>751</v>
      </c>
      <c r="G315" s="16" t="s">
        <v>107</v>
      </c>
      <c r="H315" s="99" t="s">
        <v>752</v>
      </c>
      <c r="I315" s="101" t="s">
        <v>177</v>
      </c>
      <c r="J315" s="26" t="s">
        <v>109</v>
      </c>
      <c r="K315" s="19">
        <v>1</v>
      </c>
      <c r="L315" s="20">
        <v>139.13</v>
      </c>
      <c r="M315" s="11">
        <v>2</v>
      </c>
      <c r="N315" s="23" t="s">
        <v>84</v>
      </c>
      <c r="O315" s="18" t="s">
        <v>241</v>
      </c>
      <c r="P315" s="105">
        <v>41.739</v>
      </c>
      <c r="Q315" s="88" t="s">
        <v>86</v>
      </c>
      <c r="R315" s="42"/>
      <c r="S315" s="42"/>
      <c r="T315" s="42"/>
      <c r="U315" s="42"/>
      <c r="V315" s="42"/>
      <c r="W315" s="42"/>
      <c r="X315" s="42"/>
      <c r="Y315" s="42"/>
      <c r="Z315" s="42"/>
      <c r="AA315" s="42"/>
      <c r="AB315" s="42"/>
      <c r="AC315" s="51"/>
      <c r="AD315" s="52"/>
      <c r="AE315" s="16"/>
      <c r="AF315" s="52">
        <v>1</v>
      </c>
      <c r="AG315" s="58" t="s">
        <v>85</v>
      </c>
    </row>
    <row r="316" s="1" customFormat="1" ht="45" hidden="1" spans="1:33">
      <c r="A316" s="10">
        <v>311</v>
      </c>
      <c r="B316" s="31" t="s">
        <v>7</v>
      </c>
      <c r="C316" s="11" t="s">
        <v>545</v>
      </c>
      <c r="D316" s="12" t="s">
        <v>550</v>
      </c>
      <c r="E316" s="11" t="s">
        <v>753</v>
      </c>
      <c r="F316" s="11" t="s">
        <v>753</v>
      </c>
      <c r="G316" s="16" t="s">
        <v>107</v>
      </c>
      <c r="H316" s="99" t="s">
        <v>754</v>
      </c>
      <c r="I316" s="101" t="s">
        <v>177</v>
      </c>
      <c r="J316" s="26" t="s">
        <v>109</v>
      </c>
      <c r="K316" s="19">
        <v>8</v>
      </c>
      <c r="L316" s="20">
        <v>255.72</v>
      </c>
      <c r="M316" s="11">
        <v>2</v>
      </c>
      <c r="N316" s="23" t="s">
        <v>84</v>
      </c>
      <c r="O316" s="18" t="s">
        <v>241</v>
      </c>
      <c r="P316" s="105">
        <v>76.716</v>
      </c>
      <c r="Q316" s="88" t="s">
        <v>86</v>
      </c>
      <c r="R316" s="42"/>
      <c r="S316" s="42"/>
      <c r="T316" s="42"/>
      <c r="U316" s="42"/>
      <c r="V316" s="42"/>
      <c r="W316" s="42"/>
      <c r="X316" s="42"/>
      <c r="Y316" s="42"/>
      <c r="Z316" s="42"/>
      <c r="AA316" s="42"/>
      <c r="AB316" s="42"/>
      <c r="AC316" s="51"/>
      <c r="AD316" s="52"/>
      <c r="AE316" s="16"/>
      <c r="AF316" s="52">
        <v>1</v>
      </c>
      <c r="AG316" s="58" t="s">
        <v>85</v>
      </c>
    </row>
    <row r="317" s="1" customFormat="1" ht="45" hidden="1" spans="1:33">
      <c r="A317" s="10">
        <v>312</v>
      </c>
      <c r="B317" s="31" t="s">
        <v>7</v>
      </c>
      <c r="C317" s="11" t="s">
        <v>545</v>
      </c>
      <c r="D317" s="12" t="s">
        <v>550</v>
      </c>
      <c r="E317" s="11" t="s">
        <v>755</v>
      </c>
      <c r="F317" s="11" t="s">
        <v>755</v>
      </c>
      <c r="G317" s="16" t="s">
        <v>107</v>
      </c>
      <c r="H317" s="99" t="s">
        <v>756</v>
      </c>
      <c r="I317" s="101" t="s">
        <v>177</v>
      </c>
      <c r="J317" s="26" t="s">
        <v>109</v>
      </c>
      <c r="K317" s="19">
        <v>4</v>
      </c>
      <c r="L317" s="20">
        <v>274.58</v>
      </c>
      <c r="M317" s="11">
        <v>2</v>
      </c>
      <c r="N317" s="23" t="s">
        <v>89</v>
      </c>
      <c r="O317" s="18" t="s">
        <v>241</v>
      </c>
      <c r="P317" s="105">
        <v>82.374</v>
      </c>
      <c r="Q317" s="88" t="s">
        <v>86</v>
      </c>
      <c r="R317" s="42"/>
      <c r="S317" s="42"/>
      <c r="T317" s="42"/>
      <c r="U317" s="42"/>
      <c r="V317" s="42"/>
      <c r="W317" s="42"/>
      <c r="X317" s="42"/>
      <c r="Y317" s="42"/>
      <c r="Z317" s="42"/>
      <c r="AA317" s="42"/>
      <c r="AB317" s="42"/>
      <c r="AC317" s="51"/>
      <c r="AD317" s="52"/>
      <c r="AE317" s="16"/>
      <c r="AF317" s="52">
        <v>1</v>
      </c>
      <c r="AG317" s="58" t="s">
        <v>85</v>
      </c>
    </row>
    <row r="318" s="1" customFormat="1" ht="45" hidden="1" spans="1:33">
      <c r="A318" s="10">
        <v>313</v>
      </c>
      <c r="B318" s="31" t="s">
        <v>7</v>
      </c>
      <c r="C318" s="11" t="s">
        <v>545</v>
      </c>
      <c r="D318" s="12" t="s">
        <v>550</v>
      </c>
      <c r="E318" s="11" t="s">
        <v>757</v>
      </c>
      <c r="F318" s="11" t="s">
        <v>757</v>
      </c>
      <c r="G318" s="16" t="s">
        <v>107</v>
      </c>
      <c r="H318" s="99" t="s">
        <v>758</v>
      </c>
      <c r="I318" s="101" t="s">
        <v>177</v>
      </c>
      <c r="J318" s="26" t="s">
        <v>109</v>
      </c>
      <c r="K318" s="19">
        <v>2</v>
      </c>
      <c r="L318" s="20">
        <v>39.59</v>
      </c>
      <c r="M318" s="11">
        <v>1</v>
      </c>
      <c r="N318" s="23" t="s">
        <v>89</v>
      </c>
      <c r="O318" s="18" t="s">
        <v>241</v>
      </c>
      <c r="P318" s="105">
        <v>6.3344</v>
      </c>
      <c r="Q318" s="88" t="s">
        <v>86</v>
      </c>
      <c r="R318" s="42"/>
      <c r="S318" s="42"/>
      <c r="T318" s="42"/>
      <c r="U318" s="42"/>
      <c r="V318" s="42"/>
      <c r="W318" s="42"/>
      <c r="X318" s="42"/>
      <c r="Y318" s="42"/>
      <c r="Z318" s="42"/>
      <c r="AA318" s="42"/>
      <c r="AB318" s="42"/>
      <c r="AC318" s="51"/>
      <c r="AD318" s="52"/>
      <c r="AE318" s="16"/>
      <c r="AF318" s="52">
        <v>1</v>
      </c>
      <c r="AG318" s="58" t="s">
        <v>85</v>
      </c>
    </row>
    <row r="319" s="1" customFormat="1" ht="45" hidden="1" spans="1:33">
      <c r="A319" s="10">
        <v>314</v>
      </c>
      <c r="B319" s="31" t="s">
        <v>7</v>
      </c>
      <c r="C319" s="11" t="s">
        <v>545</v>
      </c>
      <c r="D319" s="12" t="s">
        <v>550</v>
      </c>
      <c r="E319" s="11" t="s">
        <v>759</v>
      </c>
      <c r="F319" s="11" t="s">
        <v>759</v>
      </c>
      <c r="G319" s="16" t="s">
        <v>107</v>
      </c>
      <c r="H319" s="99" t="s">
        <v>760</v>
      </c>
      <c r="I319" s="101" t="s">
        <v>177</v>
      </c>
      <c r="J319" s="26" t="s">
        <v>109</v>
      </c>
      <c r="K319" s="19">
        <v>12</v>
      </c>
      <c r="L319" s="20">
        <v>293.33</v>
      </c>
      <c r="M319" s="11">
        <v>2</v>
      </c>
      <c r="N319" s="23" t="s">
        <v>84</v>
      </c>
      <c r="O319" s="18" t="s">
        <v>241</v>
      </c>
      <c r="P319" s="105">
        <v>87.999</v>
      </c>
      <c r="Q319" s="88" t="s">
        <v>86</v>
      </c>
      <c r="R319" s="42"/>
      <c r="S319" s="42"/>
      <c r="T319" s="42"/>
      <c r="U319" s="42"/>
      <c r="V319" s="42"/>
      <c r="W319" s="42"/>
      <c r="X319" s="42"/>
      <c r="Y319" s="42"/>
      <c r="Z319" s="42"/>
      <c r="AA319" s="42"/>
      <c r="AB319" s="42"/>
      <c r="AC319" s="51"/>
      <c r="AD319" s="52"/>
      <c r="AE319" s="16"/>
      <c r="AF319" s="52">
        <v>1</v>
      </c>
      <c r="AG319" s="58" t="s">
        <v>85</v>
      </c>
    </row>
    <row r="320" s="1" customFormat="1" ht="45" hidden="1" spans="1:33">
      <c r="A320" s="10">
        <v>315</v>
      </c>
      <c r="B320" s="31" t="s">
        <v>7</v>
      </c>
      <c r="C320" s="11" t="s">
        <v>545</v>
      </c>
      <c r="D320" s="12" t="s">
        <v>550</v>
      </c>
      <c r="E320" s="11" t="s">
        <v>761</v>
      </c>
      <c r="F320" s="11" t="s">
        <v>761</v>
      </c>
      <c r="G320" s="16" t="s">
        <v>107</v>
      </c>
      <c r="H320" s="99" t="s">
        <v>762</v>
      </c>
      <c r="I320" s="101" t="s">
        <v>177</v>
      </c>
      <c r="J320" s="26" t="s">
        <v>109</v>
      </c>
      <c r="K320" s="19">
        <v>7</v>
      </c>
      <c r="L320" s="20">
        <v>215.21</v>
      </c>
      <c r="M320" s="11">
        <v>2</v>
      </c>
      <c r="N320" s="23" t="s">
        <v>89</v>
      </c>
      <c r="O320" s="18" t="s">
        <v>241</v>
      </c>
      <c r="P320" s="105">
        <v>64.563</v>
      </c>
      <c r="Q320" s="88" t="s">
        <v>86</v>
      </c>
      <c r="R320" s="42"/>
      <c r="S320" s="42"/>
      <c r="T320" s="42"/>
      <c r="U320" s="42"/>
      <c r="V320" s="42"/>
      <c r="W320" s="42"/>
      <c r="X320" s="42"/>
      <c r="Y320" s="42"/>
      <c r="Z320" s="42"/>
      <c r="AA320" s="42"/>
      <c r="AB320" s="42"/>
      <c r="AC320" s="51"/>
      <c r="AD320" s="52"/>
      <c r="AE320" s="16"/>
      <c r="AF320" s="52">
        <v>1</v>
      </c>
      <c r="AG320" s="58" t="s">
        <v>85</v>
      </c>
    </row>
    <row r="321" s="1" customFormat="1" ht="33.75" hidden="1" spans="1:33">
      <c r="A321" s="10">
        <v>316</v>
      </c>
      <c r="B321" s="16" t="s">
        <v>8</v>
      </c>
      <c r="C321" s="16" t="s">
        <v>763</v>
      </c>
      <c r="D321" s="16" t="s">
        <v>764</v>
      </c>
      <c r="E321" s="16" t="s">
        <v>765</v>
      </c>
      <c r="F321" s="16" t="s">
        <v>766</v>
      </c>
      <c r="G321" s="16" t="s">
        <v>192</v>
      </c>
      <c r="H321" s="16"/>
      <c r="I321" s="101" t="s">
        <v>82</v>
      </c>
      <c r="J321" s="31" t="s">
        <v>767</v>
      </c>
      <c r="K321" s="24">
        <v>2</v>
      </c>
      <c r="L321" s="25">
        <v>106.04</v>
      </c>
      <c r="M321" s="16">
        <v>2</v>
      </c>
      <c r="N321" s="16" t="s">
        <v>89</v>
      </c>
      <c r="O321" s="102" t="s">
        <v>241</v>
      </c>
      <c r="P321" s="25">
        <f t="shared" ref="P321:P338" si="1">L321*1.3</f>
        <v>137.852</v>
      </c>
      <c r="Q321" s="26" t="s">
        <v>86</v>
      </c>
      <c r="R321" s="42"/>
      <c r="S321" s="42"/>
      <c r="T321" s="42"/>
      <c r="U321" s="42"/>
      <c r="V321" s="42"/>
      <c r="W321" s="42"/>
      <c r="X321" s="42"/>
      <c r="Y321" s="42"/>
      <c r="Z321" s="42"/>
      <c r="AA321" s="42"/>
      <c r="AB321" s="42"/>
      <c r="AC321" s="51"/>
      <c r="AD321" s="52"/>
      <c r="AE321" s="53"/>
      <c r="AF321" s="52">
        <v>1</v>
      </c>
      <c r="AG321" s="58" t="s">
        <v>86</v>
      </c>
    </row>
    <row r="322" s="1" customFormat="1" ht="33.75" hidden="1" spans="1:33">
      <c r="A322" s="10">
        <v>317</v>
      </c>
      <c r="B322" s="16" t="s">
        <v>8</v>
      </c>
      <c r="C322" s="16" t="s">
        <v>763</v>
      </c>
      <c r="D322" s="16" t="s">
        <v>764</v>
      </c>
      <c r="E322" s="16" t="s">
        <v>765</v>
      </c>
      <c r="F322" s="16" t="s">
        <v>768</v>
      </c>
      <c r="G322" s="16" t="s">
        <v>192</v>
      </c>
      <c r="H322" s="16"/>
      <c r="I322" s="101" t="s">
        <v>82</v>
      </c>
      <c r="J322" s="31" t="s">
        <v>767</v>
      </c>
      <c r="K322" s="24">
        <v>14</v>
      </c>
      <c r="L322" s="25">
        <v>419.92</v>
      </c>
      <c r="M322" s="16">
        <v>2</v>
      </c>
      <c r="N322" s="16" t="s">
        <v>84</v>
      </c>
      <c r="O322" s="102" t="s">
        <v>241</v>
      </c>
      <c r="P322" s="25">
        <f t="shared" si="1"/>
        <v>545.896</v>
      </c>
      <c r="Q322" s="26" t="s">
        <v>86</v>
      </c>
      <c r="R322" s="42"/>
      <c r="S322" s="42"/>
      <c r="T322" s="42"/>
      <c r="U322" s="42"/>
      <c r="V322" s="42"/>
      <c r="W322" s="42"/>
      <c r="X322" s="42"/>
      <c r="Y322" s="42"/>
      <c r="Z322" s="42"/>
      <c r="AA322" s="42"/>
      <c r="AB322" s="42"/>
      <c r="AC322" s="51"/>
      <c r="AD322" s="52"/>
      <c r="AE322" s="53"/>
      <c r="AF322" s="52">
        <v>1</v>
      </c>
      <c r="AG322" s="58" t="s">
        <v>86</v>
      </c>
    </row>
    <row r="323" s="1" customFormat="1" ht="33.75" hidden="1" spans="1:33">
      <c r="A323" s="10">
        <v>318</v>
      </c>
      <c r="B323" s="16" t="s">
        <v>8</v>
      </c>
      <c r="C323" s="16" t="s">
        <v>763</v>
      </c>
      <c r="D323" s="16" t="s">
        <v>764</v>
      </c>
      <c r="E323" s="16" t="s">
        <v>765</v>
      </c>
      <c r="F323" s="16" t="s">
        <v>769</v>
      </c>
      <c r="G323" s="16" t="s">
        <v>192</v>
      </c>
      <c r="H323" s="16"/>
      <c r="I323" s="101" t="s">
        <v>82</v>
      </c>
      <c r="J323" s="31" t="s">
        <v>767</v>
      </c>
      <c r="K323" s="24">
        <v>2</v>
      </c>
      <c r="L323" s="25">
        <v>236.8</v>
      </c>
      <c r="M323" s="16">
        <v>1</v>
      </c>
      <c r="N323" s="16" t="s">
        <v>84</v>
      </c>
      <c r="O323" s="102" t="s">
        <v>241</v>
      </c>
      <c r="P323" s="25">
        <f t="shared" si="1"/>
        <v>307.84</v>
      </c>
      <c r="Q323" s="26" t="s">
        <v>86</v>
      </c>
      <c r="R323" s="42"/>
      <c r="S323" s="42"/>
      <c r="T323" s="42"/>
      <c r="U323" s="42"/>
      <c r="V323" s="42"/>
      <c r="W323" s="42"/>
      <c r="X323" s="42"/>
      <c r="Y323" s="42"/>
      <c r="Z323" s="42"/>
      <c r="AA323" s="42"/>
      <c r="AB323" s="42"/>
      <c r="AC323" s="51"/>
      <c r="AD323" s="52"/>
      <c r="AE323" s="53"/>
      <c r="AF323" s="52">
        <v>1</v>
      </c>
      <c r="AG323" s="58" t="s">
        <v>86</v>
      </c>
    </row>
    <row r="324" s="1" customFormat="1" ht="33.75" hidden="1" spans="1:33">
      <c r="A324" s="10">
        <v>319</v>
      </c>
      <c r="B324" s="16" t="s">
        <v>8</v>
      </c>
      <c r="C324" s="16" t="s">
        <v>763</v>
      </c>
      <c r="D324" s="16" t="s">
        <v>764</v>
      </c>
      <c r="E324" s="16" t="s">
        <v>765</v>
      </c>
      <c r="F324" s="16" t="s">
        <v>770</v>
      </c>
      <c r="G324" s="16" t="s">
        <v>192</v>
      </c>
      <c r="H324" s="16"/>
      <c r="I324" s="101" t="s">
        <v>82</v>
      </c>
      <c r="J324" s="31" t="s">
        <v>767</v>
      </c>
      <c r="K324" s="24">
        <v>8</v>
      </c>
      <c r="L324" s="25">
        <v>164.84</v>
      </c>
      <c r="M324" s="16">
        <v>2</v>
      </c>
      <c r="N324" s="16" t="s">
        <v>84</v>
      </c>
      <c r="O324" s="102" t="s">
        <v>241</v>
      </c>
      <c r="P324" s="25">
        <f t="shared" si="1"/>
        <v>214.292</v>
      </c>
      <c r="Q324" s="26" t="s">
        <v>86</v>
      </c>
      <c r="R324" s="42"/>
      <c r="S324" s="42"/>
      <c r="T324" s="42"/>
      <c r="U324" s="42"/>
      <c r="V324" s="42"/>
      <c r="W324" s="42"/>
      <c r="X324" s="42"/>
      <c r="Y324" s="42"/>
      <c r="Z324" s="42"/>
      <c r="AA324" s="42"/>
      <c r="AB324" s="42"/>
      <c r="AC324" s="51"/>
      <c r="AD324" s="52"/>
      <c r="AE324" s="53"/>
      <c r="AF324" s="52">
        <v>1</v>
      </c>
      <c r="AG324" s="58" t="s">
        <v>86</v>
      </c>
    </row>
    <row r="325" s="1" customFormat="1" ht="33.75" hidden="1" spans="1:33">
      <c r="A325" s="10">
        <v>320</v>
      </c>
      <c r="B325" s="16" t="s">
        <v>8</v>
      </c>
      <c r="C325" s="16" t="s">
        <v>763</v>
      </c>
      <c r="D325" s="16" t="s">
        <v>764</v>
      </c>
      <c r="E325" s="16" t="s">
        <v>765</v>
      </c>
      <c r="F325" s="16" t="s">
        <v>771</v>
      </c>
      <c r="G325" s="16" t="s">
        <v>192</v>
      </c>
      <c r="H325" s="16"/>
      <c r="I325" s="101" t="s">
        <v>82</v>
      </c>
      <c r="J325" s="31" t="s">
        <v>767</v>
      </c>
      <c r="K325" s="24">
        <v>5</v>
      </c>
      <c r="L325" s="25">
        <v>184.43</v>
      </c>
      <c r="M325" s="16">
        <v>1</v>
      </c>
      <c r="N325" s="16" t="s">
        <v>84</v>
      </c>
      <c r="O325" s="102" t="s">
        <v>241</v>
      </c>
      <c r="P325" s="25">
        <f t="shared" si="1"/>
        <v>239.759</v>
      </c>
      <c r="Q325" s="26" t="s">
        <v>86</v>
      </c>
      <c r="R325" s="42"/>
      <c r="S325" s="42"/>
      <c r="T325" s="42"/>
      <c r="U325" s="42"/>
      <c r="V325" s="42"/>
      <c r="W325" s="42"/>
      <c r="X325" s="42"/>
      <c r="Y325" s="42"/>
      <c r="Z325" s="42"/>
      <c r="AA325" s="42"/>
      <c r="AB325" s="42"/>
      <c r="AC325" s="51"/>
      <c r="AD325" s="52"/>
      <c r="AE325" s="53"/>
      <c r="AF325" s="52">
        <v>1</v>
      </c>
      <c r="AG325" s="58" t="s">
        <v>86</v>
      </c>
    </row>
    <row r="326" s="1" customFormat="1" ht="56.25" hidden="1" spans="1:33">
      <c r="A326" s="10">
        <v>321</v>
      </c>
      <c r="B326" s="16" t="s">
        <v>8</v>
      </c>
      <c r="C326" s="16" t="s">
        <v>763</v>
      </c>
      <c r="D326" s="16" t="s">
        <v>764</v>
      </c>
      <c r="E326" s="16" t="s">
        <v>765</v>
      </c>
      <c r="F326" s="16" t="s">
        <v>772</v>
      </c>
      <c r="G326" s="16" t="s">
        <v>192</v>
      </c>
      <c r="H326" s="16"/>
      <c r="I326" s="101" t="s">
        <v>82</v>
      </c>
      <c r="J326" s="31" t="s">
        <v>83</v>
      </c>
      <c r="K326" s="24">
        <v>75</v>
      </c>
      <c r="L326" s="25">
        <v>1779.54</v>
      </c>
      <c r="M326" s="16">
        <v>3</v>
      </c>
      <c r="N326" s="16" t="s">
        <v>84</v>
      </c>
      <c r="O326" s="102" t="s">
        <v>241</v>
      </c>
      <c r="P326" s="25">
        <f t="shared" si="1"/>
        <v>2313.402</v>
      </c>
      <c r="Q326" s="26" t="s">
        <v>86</v>
      </c>
      <c r="R326" s="42"/>
      <c r="S326" s="42"/>
      <c r="T326" s="42"/>
      <c r="U326" s="42"/>
      <c r="V326" s="42"/>
      <c r="W326" s="42"/>
      <c r="X326" s="42"/>
      <c r="Y326" s="42"/>
      <c r="Z326" s="42"/>
      <c r="AA326" s="42"/>
      <c r="AB326" s="42"/>
      <c r="AC326" s="51"/>
      <c r="AD326" s="52"/>
      <c r="AE326" s="53"/>
      <c r="AF326" s="52">
        <v>1</v>
      </c>
      <c r="AG326" s="58" t="s">
        <v>86</v>
      </c>
    </row>
    <row r="327" s="1" customFormat="1" ht="56.25" hidden="1" spans="1:33">
      <c r="A327" s="10">
        <v>322</v>
      </c>
      <c r="B327" s="16" t="s">
        <v>8</v>
      </c>
      <c r="C327" s="16" t="s">
        <v>763</v>
      </c>
      <c r="D327" s="16" t="s">
        <v>764</v>
      </c>
      <c r="E327" s="16" t="s">
        <v>765</v>
      </c>
      <c r="F327" s="16" t="s">
        <v>773</v>
      </c>
      <c r="G327" s="16" t="s">
        <v>192</v>
      </c>
      <c r="H327" s="16"/>
      <c r="I327" s="101" t="s">
        <v>82</v>
      </c>
      <c r="J327" s="31" t="s">
        <v>83</v>
      </c>
      <c r="K327" s="24">
        <v>75</v>
      </c>
      <c r="L327" s="25">
        <v>1779.54</v>
      </c>
      <c r="M327" s="16">
        <v>3</v>
      </c>
      <c r="N327" s="16" t="s">
        <v>84</v>
      </c>
      <c r="O327" s="102" t="s">
        <v>241</v>
      </c>
      <c r="P327" s="25">
        <f t="shared" si="1"/>
        <v>2313.402</v>
      </c>
      <c r="Q327" s="26" t="s">
        <v>86</v>
      </c>
      <c r="R327" s="42"/>
      <c r="S327" s="42"/>
      <c r="T327" s="42"/>
      <c r="U327" s="42"/>
      <c r="V327" s="42"/>
      <c r="W327" s="42"/>
      <c r="X327" s="42"/>
      <c r="Y327" s="42"/>
      <c r="Z327" s="42"/>
      <c r="AA327" s="42"/>
      <c r="AB327" s="42"/>
      <c r="AC327" s="51"/>
      <c r="AD327" s="52"/>
      <c r="AE327" s="53"/>
      <c r="AF327" s="52">
        <v>1</v>
      </c>
      <c r="AG327" s="58" t="s">
        <v>86</v>
      </c>
    </row>
    <row r="328" s="1" customFormat="1" ht="56.25" hidden="1" spans="1:33">
      <c r="A328" s="10">
        <v>323</v>
      </c>
      <c r="B328" s="16" t="s">
        <v>8</v>
      </c>
      <c r="C328" s="16" t="s">
        <v>763</v>
      </c>
      <c r="D328" s="16" t="s">
        <v>764</v>
      </c>
      <c r="E328" s="16" t="s">
        <v>765</v>
      </c>
      <c r="F328" s="16" t="s">
        <v>774</v>
      </c>
      <c r="G328" s="16" t="s">
        <v>192</v>
      </c>
      <c r="H328" s="16"/>
      <c r="I328" s="101" t="s">
        <v>82</v>
      </c>
      <c r="J328" s="31" t="s">
        <v>83</v>
      </c>
      <c r="K328" s="24">
        <v>75</v>
      </c>
      <c r="L328" s="25">
        <v>2569.71</v>
      </c>
      <c r="M328" s="16">
        <v>3</v>
      </c>
      <c r="N328" s="16" t="s">
        <v>84</v>
      </c>
      <c r="O328" s="102" t="s">
        <v>241</v>
      </c>
      <c r="P328" s="25">
        <f t="shared" si="1"/>
        <v>3340.623</v>
      </c>
      <c r="Q328" s="26" t="s">
        <v>86</v>
      </c>
      <c r="R328" s="42"/>
      <c r="S328" s="42"/>
      <c r="T328" s="42"/>
      <c r="U328" s="42"/>
      <c r="V328" s="42"/>
      <c r="W328" s="42"/>
      <c r="X328" s="42"/>
      <c r="Y328" s="42"/>
      <c r="Z328" s="42"/>
      <c r="AA328" s="42"/>
      <c r="AB328" s="42"/>
      <c r="AC328" s="51"/>
      <c r="AD328" s="52"/>
      <c r="AE328" s="53"/>
      <c r="AF328" s="52">
        <v>1</v>
      </c>
      <c r="AG328" s="58" t="s">
        <v>86</v>
      </c>
    </row>
    <row r="329" s="1" customFormat="1" ht="22.5" hidden="1" spans="1:33">
      <c r="A329" s="10">
        <v>324</v>
      </c>
      <c r="B329" s="16" t="s">
        <v>8</v>
      </c>
      <c r="C329" s="16" t="s">
        <v>763</v>
      </c>
      <c r="D329" s="16" t="s">
        <v>764</v>
      </c>
      <c r="E329" s="16" t="s">
        <v>765</v>
      </c>
      <c r="F329" s="16" t="s">
        <v>775</v>
      </c>
      <c r="G329" s="16" t="s">
        <v>192</v>
      </c>
      <c r="H329" s="16"/>
      <c r="I329" s="101" t="s">
        <v>82</v>
      </c>
      <c r="J329" s="31" t="s">
        <v>83</v>
      </c>
      <c r="K329" s="24">
        <v>6</v>
      </c>
      <c r="L329" s="25">
        <v>751.2</v>
      </c>
      <c r="M329" s="16">
        <v>3</v>
      </c>
      <c r="N329" s="16" t="s">
        <v>84</v>
      </c>
      <c r="O329" s="102" t="s">
        <v>241</v>
      </c>
      <c r="P329" s="25">
        <f t="shared" si="1"/>
        <v>976.56</v>
      </c>
      <c r="Q329" s="26" t="s">
        <v>86</v>
      </c>
      <c r="R329" s="42"/>
      <c r="S329" s="42"/>
      <c r="T329" s="42"/>
      <c r="U329" s="42"/>
      <c r="V329" s="42"/>
      <c r="W329" s="42"/>
      <c r="X329" s="42"/>
      <c r="Y329" s="42"/>
      <c r="Z329" s="42"/>
      <c r="AA329" s="42"/>
      <c r="AB329" s="42"/>
      <c r="AC329" s="51"/>
      <c r="AD329" s="52"/>
      <c r="AE329" s="53"/>
      <c r="AF329" s="52">
        <v>1</v>
      </c>
      <c r="AG329" s="58" t="s">
        <v>86</v>
      </c>
    </row>
    <row r="330" s="1" customFormat="1" ht="22.5" hidden="1" spans="1:33">
      <c r="A330" s="10">
        <v>325</v>
      </c>
      <c r="B330" s="16" t="s">
        <v>8</v>
      </c>
      <c r="C330" s="16" t="s">
        <v>763</v>
      </c>
      <c r="D330" s="16" t="s">
        <v>764</v>
      </c>
      <c r="E330" s="16" t="s">
        <v>765</v>
      </c>
      <c r="F330" s="16" t="s">
        <v>776</v>
      </c>
      <c r="G330" s="16" t="s">
        <v>192</v>
      </c>
      <c r="H330" s="16"/>
      <c r="I330" s="101" t="s">
        <v>82</v>
      </c>
      <c r="J330" s="31" t="s">
        <v>83</v>
      </c>
      <c r="K330" s="24">
        <v>18</v>
      </c>
      <c r="L330" s="25">
        <v>751.2</v>
      </c>
      <c r="M330" s="16">
        <v>3</v>
      </c>
      <c r="N330" s="16" t="s">
        <v>84</v>
      </c>
      <c r="O330" s="102" t="s">
        <v>241</v>
      </c>
      <c r="P330" s="25">
        <f t="shared" si="1"/>
        <v>976.56</v>
      </c>
      <c r="Q330" s="26" t="s">
        <v>86</v>
      </c>
      <c r="R330" s="42"/>
      <c r="S330" s="42"/>
      <c r="T330" s="42"/>
      <c r="U330" s="42"/>
      <c r="V330" s="42"/>
      <c r="W330" s="42"/>
      <c r="X330" s="42"/>
      <c r="Y330" s="42"/>
      <c r="Z330" s="42"/>
      <c r="AA330" s="42"/>
      <c r="AB330" s="42"/>
      <c r="AC330" s="51"/>
      <c r="AD330" s="52"/>
      <c r="AE330" s="53"/>
      <c r="AF330" s="52">
        <v>1</v>
      </c>
      <c r="AG330" s="58" t="s">
        <v>86</v>
      </c>
    </row>
    <row r="331" s="1" customFormat="1" ht="22.5" hidden="1" spans="1:33">
      <c r="A331" s="10">
        <v>326</v>
      </c>
      <c r="B331" s="16" t="s">
        <v>8</v>
      </c>
      <c r="C331" s="16" t="s">
        <v>763</v>
      </c>
      <c r="D331" s="16" t="s">
        <v>764</v>
      </c>
      <c r="E331" s="16" t="s">
        <v>765</v>
      </c>
      <c r="F331" s="16" t="s">
        <v>777</v>
      </c>
      <c r="G331" s="16" t="s">
        <v>192</v>
      </c>
      <c r="H331" s="16"/>
      <c r="I331" s="101" t="s">
        <v>82</v>
      </c>
      <c r="J331" s="31" t="s">
        <v>83</v>
      </c>
      <c r="K331" s="24">
        <v>18</v>
      </c>
      <c r="L331" s="25">
        <v>751.2</v>
      </c>
      <c r="M331" s="16">
        <v>3</v>
      </c>
      <c r="N331" s="16" t="s">
        <v>84</v>
      </c>
      <c r="O331" s="102" t="s">
        <v>241</v>
      </c>
      <c r="P331" s="25">
        <f t="shared" si="1"/>
        <v>976.56</v>
      </c>
      <c r="Q331" s="26" t="s">
        <v>86</v>
      </c>
      <c r="R331" s="42"/>
      <c r="S331" s="42"/>
      <c r="T331" s="42"/>
      <c r="U331" s="42"/>
      <c r="V331" s="42"/>
      <c r="W331" s="42"/>
      <c r="X331" s="42"/>
      <c r="Y331" s="42"/>
      <c r="Z331" s="42"/>
      <c r="AA331" s="42"/>
      <c r="AB331" s="42"/>
      <c r="AC331" s="51"/>
      <c r="AD331" s="52"/>
      <c r="AE331" s="53"/>
      <c r="AF331" s="52">
        <v>1</v>
      </c>
      <c r="AG331" s="58" t="s">
        <v>86</v>
      </c>
    </row>
    <row r="332" s="1" customFormat="1" ht="22.5" hidden="1" spans="1:33">
      <c r="A332" s="10">
        <v>327</v>
      </c>
      <c r="B332" s="16" t="s">
        <v>8</v>
      </c>
      <c r="C332" s="16" t="s">
        <v>763</v>
      </c>
      <c r="D332" s="16" t="s">
        <v>764</v>
      </c>
      <c r="E332" s="16" t="s">
        <v>765</v>
      </c>
      <c r="F332" s="16" t="s">
        <v>778</v>
      </c>
      <c r="G332" s="16" t="s">
        <v>192</v>
      </c>
      <c r="H332" s="16"/>
      <c r="I332" s="101" t="s">
        <v>82</v>
      </c>
      <c r="J332" s="31" t="s">
        <v>83</v>
      </c>
      <c r="K332" s="24">
        <v>18</v>
      </c>
      <c r="L332" s="25">
        <v>751.2</v>
      </c>
      <c r="M332" s="16">
        <v>3</v>
      </c>
      <c r="N332" s="16" t="s">
        <v>84</v>
      </c>
      <c r="O332" s="102" t="s">
        <v>241</v>
      </c>
      <c r="P332" s="25">
        <f t="shared" si="1"/>
        <v>976.56</v>
      </c>
      <c r="Q332" s="26" t="s">
        <v>86</v>
      </c>
      <c r="R332" s="42"/>
      <c r="S332" s="42"/>
      <c r="T332" s="42"/>
      <c r="U332" s="42"/>
      <c r="V332" s="42"/>
      <c r="W332" s="42"/>
      <c r="X332" s="42"/>
      <c r="Y332" s="42"/>
      <c r="Z332" s="42"/>
      <c r="AA332" s="42"/>
      <c r="AB332" s="42"/>
      <c r="AC332" s="51"/>
      <c r="AD332" s="52"/>
      <c r="AE332" s="54"/>
      <c r="AF332" s="52">
        <v>1</v>
      </c>
      <c r="AG332" s="58" t="s">
        <v>86</v>
      </c>
    </row>
    <row r="333" s="1" customFormat="1" ht="22.5" hidden="1" spans="1:33">
      <c r="A333" s="10">
        <v>328</v>
      </c>
      <c r="B333" s="16" t="s">
        <v>8</v>
      </c>
      <c r="C333" s="16" t="s">
        <v>763</v>
      </c>
      <c r="D333" s="16" t="s">
        <v>764</v>
      </c>
      <c r="E333" s="16" t="s">
        <v>765</v>
      </c>
      <c r="F333" s="16" t="s">
        <v>779</v>
      </c>
      <c r="G333" s="16" t="s">
        <v>192</v>
      </c>
      <c r="H333" s="16"/>
      <c r="I333" s="101" t="s">
        <v>82</v>
      </c>
      <c r="J333" s="31" t="s">
        <v>83</v>
      </c>
      <c r="K333" s="24">
        <v>18</v>
      </c>
      <c r="L333" s="25">
        <v>624.39</v>
      </c>
      <c r="M333" s="16">
        <v>3</v>
      </c>
      <c r="N333" s="16" t="s">
        <v>84</v>
      </c>
      <c r="O333" s="102" t="s">
        <v>241</v>
      </c>
      <c r="P333" s="25">
        <f t="shared" si="1"/>
        <v>811.707</v>
      </c>
      <c r="Q333" s="26" t="s">
        <v>86</v>
      </c>
      <c r="R333" s="42"/>
      <c r="S333" s="42"/>
      <c r="T333" s="42"/>
      <c r="U333" s="42"/>
      <c r="V333" s="42"/>
      <c r="W333" s="42"/>
      <c r="X333" s="42"/>
      <c r="Y333" s="42"/>
      <c r="Z333" s="42"/>
      <c r="AA333" s="42"/>
      <c r="AB333" s="42"/>
      <c r="AC333" s="51"/>
      <c r="AD333" s="52"/>
      <c r="AE333" s="53"/>
      <c r="AF333" s="52">
        <v>1</v>
      </c>
      <c r="AG333" s="58" t="s">
        <v>86</v>
      </c>
    </row>
    <row r="334" s="1" customFormat="1" ht="56.25" hidden="1" spans="1:33">
      <c r="A334" s="10">
        <v>329</v>
      </c>
      <c r="B334" s="16" t="s">
        <v>8</v>
      </c>
      <c r="C334" s="16" t="s">
        <v>763</v>
      </c>
      <c r="D334" s="16" t="s">
        <v>764</v>
      </c>
      <c r="E334" s="16" t="s">
        <v>765</v>
      </c>
      <c r="F334" s="16" t="s">
        <v>780</v>
      </c>
      <c r="G334" s="16" t="s">
        <v>192</v>
      </c>
      <c r="H334" s="16"/>
      <c r="I334" s="101" t="s">
        <v>82</v>
      </c>
      <c r="J334" s="31" t="s">
        <v>83</v>
      </c>
      <c r="K334" s="24">
        <v>18</v>
      </c>
      <c r="L334" s="25">
        <v>624.39</v>
      </c>
      <c r="M334" s="16">
        <v>3</v>
      </c>
      <c r="N334" s="16" t="s">
        <v>84</v>
      </c>
      <c r="O334" s="102" t="s">
        <v>241</v>
      </c>
      <c r="P334" s="25">
        <f t="shared" si="1"/>
        <v>811.707</v>
      </c>
      <c r="Q334" s="26" t="s">
        <v>86</v>
      </c>
      <c r="R334" s="42"/>
      <c r="S334" s="42"/>
      <c r="T334" s="42"/>
      <c r="U334" s="42"/>
      <c r="V334" s="42"/>
      <c r="W334" s="42"/>
      <c r="X334" s="42"/>
      <c r="Y334" s="42"/>
      <c r="Z334" s="42"/>
      <c r="AA334" s="42"/>
      <c r="AB334" s="42"/>
      <c r="AC334" s="51"/>
      <c r="AD334" s="52"/>
      <c r="AE334" s="53"/>
      <c r="AF334" s="52">
        <v>1</v>
      </c>
      <c r="AG334" s="58" t="s">
        <v>86</v>
      </c>
    </row>
    <row r="335" s="1" customFormat="1" ht="22.5" hidden="1" spans="1:33">
      <c r="A335" s="10">
        <v>330</v>
      </c>
      <c r="B335" s="16" t="s">
        <v>8</v>
      </c>
      <c r="C335" s="16" t="s">
        <v>763</v>
      </c>
      <c r="D335" s="16" t="s">
        <v>764</v>
      </c>
      <c r="E335" s="16" t="s">
        <v>765</v>
      </c>
      <c r="F335" s="16" t="s">
        <v>781</v>
      </c>
      <c r="G335" s="16" t="s">
        <v>192</v>
      </c>
      <c r="H335" s="16"/>
      <c r="I335" s="101" t="s">
        <v>82</v>
      </c>
      <c r="J335" s="31" t="s">
        <v>83</v>
      </c>
      <c r="K335" s="24">
        <v>24</v>
      </c>
      <c r="L335" s="25">
        <v>1036</v>
      </c>
      <c r="M335" s="16">
        <v>4</v>
      </c>
      <c r="N335" s="16" t="s">
        <v>84</v>
      </c>
      <c r="O335" s="102" t="s">
        <v>241</v>
      </c>
      <c r="P335" s="25">
        <f t="shared" si="1"/>
        <v>1346.8</v>
      </c>
      <c r="Q335" s="26" t="s">
        <v>86</v>
      </c>
      <c r="R335" s="42"/>
      <c r="S335" s="42"/>
      <c r="T335" s="42"/>
      <c r="U335" s="42"/>
      <c r="V335" s="42"/>
      <c r="W335" s="42"/>
      <c r="X335" s="42"/>
      <c r="Y335" s="42"/>
      <c r="Z335" s="42"/>
      <c r="AA335" s="42"/>
      <c r="AB335" s="42"/>
      <c r="AC335" s="51"/>
      <c r="AD335" s="52"/>
      <c r="AE335" s="53"/>
      <c r="AF335" s="52">
        <v>1</v>
      </c>
      <c r="AG335" s="58" t="s">
        <v>86</v>
      </c>
    </row>
    <row r="336" s="1" customFormat="1" ht="22.5" hidden="1" spans="1:33">
      <c r="A336" s="10">
        <v>331</v>
      </c>
      <c r="B336" s="16" t="s">
        <v>8</v>
      </c>
      <c r="C336" s="16" t="s">
        <v>763</v>
      </c>
      <c r="D336" s="16" t="s">
        <v>764</v>
      </c>
      <c r="E336" s="16" t="s">
        <v>765</v>
      </c>
      <c r="F336" s="16" t="s">
        <v>782</v>
      </c>
      <c r="G336" s="16" t="s">
        <v>192</v>
      </c>
      <c r="H336" s="16"/>
      <c r="I336" s="101" t="s">
        <v>82</v>
      </c>
      <c r="J336" s="31" t="s">
        <v>83</v>
      </c>
      <c r="K336" s="24">
        <v>24</v>
      </c>
      <c r="L336" s="25">
        <v>1036</v>
      </c>
      <c r="M336" s="16">
        <v>4</v>
      </c>
      <c r="N336" s="16" t="s">
        <v>84</v>
      </c>
      <c r="O336" s="102" t="s">
        <v>241</v>
      </c>
      <c r="P336" s="25">
        <f t="shared" si="1"/>
        <v>1346.8</v>
      </c>
      <c r="Q336" s="26" t="s">
        <v>86</v>
      </c>
      <c r="R336" s="42"/>
      <c r="S336" s="42"/>
      <c r="T336" s="42"/>
      <c r="U336" s="42"/>
      <c r="V336" s="42"/>
      <c r="W336" s="42"/>
      <c r="X336" s="42"/>
      <c r="Y336" s="42"/>
      <c r="Z336" s="42"/>
      <c r="AA336" s="42"/>
      <c r="AB336" s="42"/>
      <c r="AC336" s="51"/>
      <c r="AD336" s="52"/>
      <c r="AE336" s="53"/>
      <c r="AF336" s="52">
        <v>1</v>
      </c>
      <c r="AG336" s="58" t="s">
        <v>86</v>
      </c>
    </row>
    <row r="337" s="1" customFormat="1" ht="22.5" hidden="1" spans="1:33">
      <c r="A337" s="10">
        <v>332</v>
      </c>
      <c r="B337" s="16" t="s">
        <v>8</v>
      </c>
      <c r="C337" s="16" t="s">
        <v>783</v>
      </c>
      <c r="D337" s="16" t="s">
        <v>784</v>
      </c>
      <c r="E337" s="16" t="s">
        <v>785</v>
      </c>
      <c r="F337" s="16" t="s">
        <v>786</v>
      </c>
      <c r="G337" s="16" t="s">
        <v>192</v>
      </c>
      <c r="H337" s="16"/>
      <c r="I337" s="101" t="s">
        <v>82</v>
      </c>
      <c r="J337" s="31" t="s">
        <v>83</v>
      </c>
      <c r="K337" s="24">
        <v>135</v>
      </c>
      <c r="L337" s="25">
        <v>3400</v>
      </c>
      <c r="M337" s="16">
        <v>6</v>
      </c>
      <c r="N337" s="16" t="s">
        <v>84</v>
      </c>
      <c r="O337" s="102" t="s">
        <v>241</v>
      </c>
      <c r="P337" s="25">
        <f t="shared" si="1"/>
        <v>4420</v>
      </c>
      <c r="Q337" s="26" t="s">
        <v>86</v>
      </c>
      <c r="R337" s="42"/>
      <c r="S337" s="42"/>
      <c r="T337" s="42"/>
      <c r="U337" s="42"/>
      <c r="V337" s="42"/>
      <c r="W337" s="42"/>
      <c r="X337" s="42"/>
      <c r="Y337" s="42"/>
      <c r="Z337" s="42"/>
      <c r="AA337" s="42"/>
      <c r="AB337" s="42"/>
      <c r="AC337" s="51"/>
      <c r="AD337" s="52"/>
      <c r="AE337" s="53"/>
      <c r="AF337" s="52">
        <v>1</v>
      </c>
      <c r="AG337" s="58" t="s">
        <v>86</v>
      </c>
    </row>
    <row r="338" s="1" customFormat="1" ht="67.5" hidden="1" spans="1:33">
      <c r="A338" s="10">
        <v>333</v>
      </c>
      <c r="B338" s="16" t="s">
        <v>8</v>
      </c>
      <c r="C338" s="16" t="s">
        <v>787</v>
      </c>
      <c r="D338" s="16" t="s">
        <v>788</v>
      </c>
      <c r="E338" s="16" t="s">
        <v>789</v>
      </c>
      <c r="F338" s="16" t="s">
        <v>790</v>
      </c>
      <c r="G338" s="16" t="s">
        <v>192</v>
      </c>
      <c r="H338" s="16"/>
      <c r="I338" s="101" t="s">
        <v>82</v>
      </c>
      <c r="J338" s="31" t="s">
        <v>83</v>
      </c>
      <c r="K338" s="24">
        <v>60</v>
      </c>
      <c r="L338" s="25">
        <v>5090.64</v>
      </c>
      <c r="M338" s="16">
        <v>6</v>
      </c>
      <c r="N338" s="16" t="s">
        <v>84</v>
      </c>
      <c r="O338" s="102" t="s">
        <v>241</v>
      </c>
      <c r="P338" s="25">
        <f t="shared" si="1"/>
        <v>6617.832</v>
      </c>
      <c r="Q338" s="26" t="s">
        <v>86</v>
      </c>
      <c r="R338" s="42"/>
      <c r="S338" s="42"/>
      <c r="T338" s="42"/>
      <c r="U338" s="42"/>
      <c r="V338" s="42"/>
      <c r="W338" s="42"/>
      <c r="X338" s="42"/>
      <c r="Y338" s="42"/>
      <c r="Z338" s="42"/>
      <c r="AA338" s="42"/>
      <c r="AB338" s="42"/>
      <c r="AC338" s="51"/>
      <c r="AD338" s="52"/>
      <c r="AE338" s="53"/>
      <c r="AF338" s="52">
        <v>1</v>
      </c>
      <c r="AG338" s="58" t="s">
        <v>86</v>
      </c>
    </row>
    <row r="339" s="1" customFormat="1" ht="33.75" hidden="1" spans="1:33">
      <c r="A339" s="10">
        <v>334</v>
      </c>
      <c r="B339" s="16" t="s">
        <v>8</v>
      </c>
      <c r="C339" s="16" t="s">
        <v>787</v>
      </c>
      <c r="D339" s="16" t="s">
        <v>791</v>
      </c>
      <c r="E339" s="16" t="s">
        <v>792</v>
      </c>
      <c r="F339" s="26" t="s">
        <v>793</v>
      </c>
      <c r="G339" s="16" t="s">
        <v>192</v>
      </c>
      <c r="H339" s="16"/>
      <c r="I339" s="101" t="s">
        <v>82</v>
      </c>
      <c r="J339" s="31" t="s">
        <v>83</v>
      </c>
      <c r="K339" s="75">
        <v>16</v>
      </c>
      <c r="L339" s="59">
        <v>877.88</v>
      </c>
      <c r="M339" s="29">
        <v>4</v>
      </c>
      <c r="N339" s="16" t="s">
        <v>89</v>
      </c>
      <c r="O339" s="102" t="s">
        <v>21</v>
      </c>
      <c r="P339" s="25">
        <v>87.78</v>
      </c>
      <c r="Q339" s="26" t="s">
        <v>85</v>
      </c>
      <c r="R339" s="42"/>
      <c r="S339" s="42"/>
      <c r="T339" s="42"/>
      <c r="U339" s="42"/>
      <c r="V339" s="42"/>
      <c r="W339" s="42"/>
      <c r="X339" s="42"/>
      <c r="Y339" s="42"/>
      <c r="Z339" s="42"/>
      <c r="AA339" s="42"/>
      <c r="AB339" s="42"/>
      <c r="AC339" s="51"/>
      <c r="AD339" s="52"/>
      <c r="AE339" s="53"/>
      <c r="AF339" s="52">
        <v>1</v>
      </c>
      <c r="AG339" s="58" t="s">
        <v>86</v>
      </c>
    </row>
    <row r="340" s="1" customFormat="1" ht="33.75" hidden="1" spans="1:33">
      <c r="A340" s="10">
        <v>335</v>
      </c>
      <c r="B340" s="16" t="s">
        <v>8</v>
      </c>
      <c r="C340" s="16" t="s">
        <v>787</v>
      </c>
      <c r="D340" s="16" t="s">
        <v>791</v>
      </c>
      <c r="E340" s="16" t="s">
        <v>792</v>
      </c>
      <c r="F340" s="16" t="s">
        <v>794</v>
      </c>
      <c r="G340" s="16" t="s">
        <v>192</v>
      </c>
      <c r="H340" s="16"/>
      <c r="I340" s="101" t="s">
        <v>82</v>
      </c>
      <c r="J340" s="31" t="s">
        <v>83</v>
      </c>
      <c r="K340" s="16">
        <v>40</v>
      </c>
      <c r="L340" s="16">
        <v>2183.9</v>
      </c>
      <c r="M340" s="16">
        <v>5</v>
      </c>
      <c r="N340" s="109" t="s">
        <v>84</v>
      </c>
      <c r="O340" s="102" t="s">
        <v>21</v>
      </c>
      <c r="P340" s="25">
        <v>218.39</v>
      </c>
      <c r="Q340" s="26" t="s">
        <v>85</v>
      </c>
      <c r="R340" s="42"/>
      <c r="S340" s="42"/>
      <c r="T340" s="42"/>
      <c r="U340" s="42"/>
      <c r="V340" s="42"/>
      <c r="W340" s="42"/>
      <c r="X340" s="42"/>
      <c r="Y340" s="42"/>
      <c r="Z340" s="42"/>
      <c r="AA340" s="42"/>
      <c r="AB340" s="42"/>
      <c r="AC340" s="51"/>
      <c r="AD340" s="52"/>
      <c r="AE340" s="53"/>
      <c r="AF340" s="52">
        <v>1</v>
      </c>
      <c r="AG340" s="58" t="s">
        <v>86</v>
      </c>
    </row>
    <row r="341" s="1" customFormat="1" ht="33.75" hidden="1" spans="1:33">
      <c r="A341" s="10">
        <v>336</v>
      </c>
      <c r="B341" s="16" t="s">
        <v>8</v>
      </c>
      <c r="C341" s="95" t="s">
        <v>795</v>
      </c>
      <c r="D341" s="95" t="s">
        <v>795</v>
      </c>
      <c r="E341" s="96" t="s">
        <v>796</v>
      </c>
      <c r="F341" s="96" t="s">
        <v>796</v>
      </c>
      <c r="G341" s="95" t="s">
        <v>107</v>
      </c>
      <c r="H341" s="16"/>
      <c r="I341" s="101" t="s">
        <v>82</v>
      </c>
      <c r="J341" s="31" t="s">
        <v>109</v>
      </c>
      <c r="K341" s="24">
        <v>4</v>
      </c>
      <c r="L341" s="25">
        <v>112.99</v>
      </c>
      <c r="M341" s="96">
        <v>1</v>
      </c>
      <c r="N341" s="109" t="s">
        <v>89</v>
      </c>
      <c r="O341" s="102" t="s">
        <v>21</v>
      </c>
      <c r="P341" s="25">
        <v>1.81</v>
      </c>
      <c r="Q341" s="26" t="s">
        <v>85</v>
      </c>
      <c r="R341" s="42"/>
      <c r="S341" s="42"/>
      <c r="T341" s="42"/>
      <c r="U341" s="42"/>
      <c r="V341" s="42"/>
      <c r="W341" s="42"/>
      <c r="X341" s="42"/>
      <c r="Y341" s="42"/>
      <c r="Z341" s="42"/>
      <c r="AA341" s="42"/>
      <c r="AB341" s="42"/>
      <c r="AC341" s="51"/>
      <c r="AD341" s="52"/>
      <c r="AE341" s="53"/>
      <c r="AF341" s="52">
        <v>1</v>
      </c>
      <c r="AG341" s="58" t="s">
        <v>85</v>
      </c>
    </row>
    <row r="342" s="1" customFormat="1" ht="33.75" hidden="1" spans="1:33">
      <c r="A342" s="10">
        <v>337</v>
      </c>
      <c r="B342" s="16" t="s">
        <v>8</v>
      </c>
      <c r="C342" s="16" t="s">
        <v>787</v>
      </c>
      <c r="D342" s="16" t="s">
        <v>791</v>
      </c>
      <c r="E342" s="16" t="s">
        <v>792</v>
      </c>
      <c r="F342" s="16" t="s">
        <v>797</v>
      </c>
      <c r="G342" s="16" t="s">
        <v>798</v>
      </c>
      <c r="H342" s="16"/>
      <c r="I342" s="101" t="s">
        <v>82</v>
      </c>
      <c r="J342" s="31" t="s">
        <v>83</v>
      </c>
      <c r="K342" s="16">
        <v>40</v>
      </c>
      <c r="L342" s="16">
        <v>2627.73</v>
      </c>
      <c r="M342" s="16">
        <v>5</v>
      </c>
      <c r="N342" s="16" t="s">
        <v>84</v>
      </c>
      <c r="O342" s="102" t="s">
        <v>21</v>
      </c>
      <c r="P342" s="25">
        <v>262.77</v>
      </c>
      <c r="Q342" s="26" t="s">
        <v>85</v>
      </c>
      <c r="R342" s="42"/>
      <c r="S342" s="42"/>
      <c r="T342" s="42"/>
      <c r="U342" s="42"/>
      <c r="V342" s="42"/>
      <c r="W342" s="42"/>
      <c r="X342" s="42"/>
      <c r="Y342" s="42"/>
      <c r="Z342" s="42"/>
      <c r="AA342" s="42"/>
      <c r="AB342" s="42"/>
      <c r="AC342" s="51"/>
      <c r="AD342" s="52"/>
      <c r="AE342" s="53"/>
      <c r="AF342" s="52">
        <v>1</v>
      </c>
      <c r="AG342" s="58" t="s">
        <v>86</v>
      </c>
    </row>
    <row r="343" s="1" customFormat="1" ht="33.75" hidden="1" spans="1:33">
      <c r="A343" s="10">
        <v>338</v>
      </c>
      <c r="B343" s="16" t="s">
        <v>8</v>
      </c>
      <c r="C343" s="16" t="s">
        <v>787</v>
      </c>
      <c r="D343" s="16" t="s">
        <v>791</v>
      </c>
      <c r="E343" s="16" t="s">
        <v>792</v>
      </c>
      <c r="F343" s="16" t="s">
        <v>799</v>
      </c>
      <c r="G343" s="16" t="s">
        <v>798</v>
      </c>
      <c r="H343" s="16"/>
      <c r="I343" s="101" t="s">
        <v>82</v>
      </c>
      <c r="J343" s="31" t="s">
        <v>83</v>
      </c>
      <c r="K343" s="16">
        <v>50</v>
      </c>
      <c r="L343" s="16">
        <v>2707.9</v>
      </c>
      <c r="M343" s="16">
        <v>5</v>
      </c>
      <c r="N343" s="16" t="s">
        <v>84</v>
      </c>
      <c r="O343" s="102" t="s">
        <v>21</v>
      </c>
      <c r="P343" s="25">
        <v>270.79</v>
      </c>
      <c r="Q343" s="26" t="s">
        <v>85</v>
      </c>
      <c r="R343" s="42"/>
      <c r="S343" s="42"/>
      <c r="T343" s="42"/>
      <c r="U343" s="42"/>
      <c r="V343" s="42"/>
      <c r="W343" s="42"/>
      <c r="X343" s="42"/>
      <c r="Y343" s="42"/>
      <c r="Z343" s="42"/>
      <c r="AA343" s="42"/>
      <c r="AB343" s="42"/>
      <c r="AC343" s="51"/>
      <c r="AD343" s="52"/>
      <c r="AE343" s="53"/>
      <c r="AF343" s="52">
        <v>1</v>
      </c>
      <c r="AG343" s="58" t="s">
        <v>86</v>
      </c>
    </row>
    <row r="344" s="1" customFormat="1" ht="22.5" hidden="1" spans="1:33">
      <c r="A344" s="10">
        <v>339</v>
      </c>
      <c r="B344" s="16" t="s">
        <v>8</v>
      </c>
      <c r="C344" s="16" t="s">
        <v>800</v>
      </c>
      <c r="D344" s="16" t="s">
        <v>801</v>
      </c>
      <c r="E344" s="16" t="s">
        <v>802</v>
      </c>
      <c r="F344" s="26" t="s">
        <v>803</v>
      </c>
      <c r="G344" s="16" t="s">
        <v>192</v>
      </c>
      <c r="H344" s="16"/>
      <c r="I344" s="101" t="s">
        <v>82</v>
      </c>
      <c r="J344" s="31" t="s">
        <v>83</v>
      </c>
      <c r="K344" s="16">
        <v>36</v>
      </c>
      <c r="L344" s="16">
        <v>2839.29</v>
      </c>
      <c r="M344" s="16">
        <v>6</v>
      </c>
      <c r="N344" s="109" t="s">
        <v>89</v>
      </c>
      <c r="O344" s="102" t="s">
        <v>27</v>
      </c>
      <c r="P344" s="25">
        <f t="shared" ref="P344:P348" si="2">L344*0.3</f>
        <v>851.787</v>
      </c>
      <c r="Q344" s="26" t="s">
        <v>85</v>
      </c>
      <c r="R344" s="42"/>
      <c r="S344" s="42"/>
      <c r="T344" s="42"/>
      <c r="U344" s="42"/>
      <c r="V344" s="42"/>
      <c r="W344" s="42"/>
      <c r="X344" s="42"/>
      <c r="Y344" s="42"/>
      <c r="Z344" s="42"/>
      <c r="AA344" s="42"/>
      <c r="AB344" s="42"/>
      <c r="AC344" s="51"/>
      <c r="AD344" s="52"/>
      <c r="AE344" s="53"/>
      <c r="AF344" s="52">
        <v>1</v>
      </c>
      <c r="AG344" s="58" t="s">
        <v>86</v>
      </c>
    </row>
    <row r="345" s="1" customFormat="1" ht="22.5" hidden="1" spans="1:33">
      <c r="A345" s="10">
        <v>340</v>
      </c>
      <c r="B345" s="16" t="s">
        <v>8</v>
      </c>
      <c r="C345" s="16" t="s">
        <v>800</v>
      </c>
      <c r="D345" s="16" t="s">
        <v>801</v>
      </c>
      <c r="E345" s="16" t="s">
        <v>802</v>
      </c>
      <c r="F345" s="26" t="s">
        <v>804</v>
      </c>
      <c r="G345" s="16" t="s">
        <v>192</v>
      </c>
      <c r="H345" s="16"/>
      <c r="I345" s="101" t="s">
        <v>82</v>
      </c>
      <c r="J345" s="31" t="s">
        <v>83</v>
      </c>
      <c r="K345" s="16">
        <v>24</v>
      </c>
      <c r="L345" s="16">
        <v>1966.51</v>
      </c>
      <c r="M345" s="16">
        <v>6</v>
      </c>
      <c r="N345" s="109" t="s">
        <v>89</v>
      </c>
      <c r="O345" s="102" t="s">
        <v>27</v>
      </c>
      <c r="P345" s="25">
        <f t="shared" si="2"/>
        <v>589.953</v>
      </c>
      <c r="Q345" s="26" t="s">
        <v>85</v>
      </c>
      <c r="R345" s="42"/>
      <c r="S345" s="42"/>
      <c r="T345" s="42"/>
      <c r="U345" s="42"/>
      <c r="V345" s="42"/>
      <c r="W345" s="42"/>
      <c r="X345" s="42"/>
      <c r="Y345" s="42"/>
      <c r="Z345" s="42"/>
      <c r="AA345" s="42"/>
      <c r="AB345" s="42"/>
      <c r="AC345" s="51"/>
      <c r="AD345" s="52"/>
      <c r="AE345" s="53"/>
      <c r="AF345" s="52">
        <v>1</v>
      </c>
      <c r="AG345" s="58" t="s">
        <v>86</v>
      </c>
    </row>
    <row r="346" s="1" customFormat="1" ht="22.5" hidden="1" spans="1:33">
      <c r="A346" s="10">
        <v>341</v>
      </c>
      <c r="B346" s="16" t="s">
        <v>8</v>
      </c>
      <c r="C346" s="16" t="s">
        <v>800</v>
      </c>
      <c r="D346" s="16" t="s">
        <v>801</v>
      </c>
      <c r="E346" s="16" t="s">
        <v>802</v>
      </c>
      <c r="F346" s="26" t="s">
        <v>805</v>
      </c>
      <c r="G346" s="16" t="s">
        <v>192</v>
      </c>
      <c r="H346" s="16"/>
      <c r="I346" s="101" t="s">
        <v>82</v>
      </c>
      <c r="J346" s="31" t="s">
        <v>83</v>
      </c>
      <c r="K346" s="16">
        <v>40</v>
      </c>
      <c r="L346" s="16">
        <v>1995.65</v>
      </c>
      <c r="M346" s="16">
        <v>5</v>
      </c>
      <c r="N346" s="109" t="s">
        <v>89</v>
      </c>
      <c r="O346" s="102" t="s">
        <v>27</v>
      </c>
      <c r="P346" s="25">
        <f t="shared" si="2"/>
        <v>598.695</v>
      </c>
      <c r="Q346" s="26" t="s">
        <v>85</v>
      </c>
      <c r="R346" s="42"/>
      <c r="S346" s="42"/>
      <c r="T346" s="42"/>
      <c r="U346" s="42"/>
      <c r="V346" s="42"/>
      <c r="W346" s="42"/>
      <c r="X346" s="42"/>
      <c r="Y346" s="42"/>
      <c r="Z346" s="42"/>
      <c r="AA346" s="42"/>
      <c r="AB346" s="42"/>
      <c r="AC346" s="51"/>
      <c r="AD346" s="52"/>
      <c r="AE346" s="53"/>
      <c r="AF346" s="52">
        <v>1</v>
      </c>
      <c r="AG346" s="58" t="s">
        <v>86</v>
      </c>
    </row>
    <row r="347" s="1" customFormat="1" ht="22.5" hidden="1" spans="1:33">
      <c r="A347" s="10">
        <v>342</v>
      </c>
      <c r="B347" s="16" t="s">
        <v>8</v>
      </c>
      <c r="C347" s="16" t="s">
        <v>800</v>
      </c>
      <c r="D347" s="16" t="s">
        <v>806</v>
      </c>
      <c r="E347" s="16" t="s">
        <v>806</v>
      </c>
      <c r="F347" s="16" t="s">
        <v>807</v>
      </c>
      <c r="G347" s="16" t="s">
        <v>192</v>
      </c>
      <c r="H347" s="16"/>
      <c r="I347" s="101" t="s">
        <v>82</v>
      </c>
      <c r="J347" s="31" t="s">
        <v>83</v>
      </c>
      <c r="K347" s="16">
        <v>24</v>
      </c>
      <c r="L347" s="16">
        <v>952.08</v>
      </c>
      <c r="M347" s="16">
        <v>4</v>
      </c>
      <c r="N347" s="109" t="s">
        <v>84</v>
      </c>
      <c r="O347" s="102" t="s">
        <v>27</v>
      </c>
      <c r="P347" s="25">
        <f t="shared" si="2"/>
        <v>285.624</v>
      </c>
      <c r="Q347" s="26" t="s">
        <v>85</v>
      </c>
      <c r="R347" s="42"/>
      <c r="S347" s="42"/>
      <c r="T347" s="42"/>
      <c r="U347" s="42"/>
      <c r="V347" s="42"/>
      <c r="W347" s="42"/>
      <c r="X347" s="42"/>
      <c r="Y347" s="42"/>
      <c r="Z347" s="42"/>
      <c r="AA347" s="42"/>
      <c r="AB347" s="42"/>
      <c r="AC347" s="51"/>
      <c r="AD347" s="52"/>
      <c r="AE347" s="53"/>
      <c r="AF347" s="52">
        <v>1</v>
      </c>
      <c r="AG347" s="58" t="s">
        <v>86</v>
      </c>
    </row>
    <row r="348" s="1" customFormat="1" ht="22.5" hidden="1" spans="1:33">
      <c r="A348" s="10">
        <v>343</v>
      </c>
      <c r="B348" s="16" t="s">
        <v>8</v>
      </c>
      <c r="C348" s="16" t="s">
        <v>800</v>
      </c>
      <c r="D348" s="16" t="s">
        <v>806</v>
      </c>
      <c r="E348" s="16" t="s">
        <v>806</v>
      </c>
      <c r="F348" s="16" t="s">
        <v>808</v>
      </c>
      <c r="G348" s="16" t="s">
        <v>192</v>
      </c>
      <c r="H348" s="16"/>
      <c r="I348" s="101" t="s">
        <v>82</v>
      </c>
      <c r="J348" s="31" t="s">
        <v>83</v>
      </c>
      <c r="K348" s="16">
        <v>48</v>
      </c>
      <c r="L348" s="16">
        <v>3313.62</v>
      </c>
      <c r="M348" s="16">
        <v>6</v>
      </c>
      <c r="N348" s="109" t="s">
        <v>84</v>
      </c>
      <c r="O348" s="102" t="s">
        <v>27</v>
      </c>
      <c r="P348" s="25">
        <f t="shared" si="2"/>
        <v>994.086</v>
      </c>
      <c r="Q348" s="26" t="s">
        <v>85</v>
      </c>
      <c r="R348" s="42"/>
      <c r="S348" s="42"/>
      <c r="T348" s="42"/>
      <c r="U348" s="42"/>
      <c r="V348" s="42"/>
      <c r="W348" s="42"/>
      <c r="X348" s="42"/>
      <c r="Y348" s="42"/>
      <c r="Z348" s="42"/>
      <c r="AA348" s="42"/>
      <c r="AB348" s="42"/>
      <c r="AC348" s="51"/>
      <c r="AD348" s="52"/>
      <c r="AE348" s="116"/>
      <c r="AF348" s="52">
        <v>1</v>
      </c>
      <c r="AG348" s="58" t="s">
        <v>86</v>
      </c>
    </row>
    <row r="349" s="1" customFormat="1" ht="33.75" hidden="1" spans="1:33">
      <c r="A349" s="10">
        <v>344</v>
      </c>
      <c r="B349" s="16" t="s">
        <v>10</v>
      </c>
      <c r="C349" s="16" t="s">
        <v>809</v>
      </c>
      <c r="D349" s="16" t="s">
        <v>810</v>
      </c>
      <c r="E349" s="16" t="s">
        <v>811</v>
      </c>
      <c r="F349" s="16" t="s">
        <v>812</v>
      </c>
      <c r="G349" s="16" t="s">
        <v>813</v>
      </c>
      <c r="H349" s="16" t="s">
        <v>814</v>
      </c>
      <c r="I349" s="101" t="s">
        <v>82</v>
      </c>
      <c r="J349" s="16" t="s">
        <v>815</v>
      </c>
      <c r="K349" s="16">
        <v>1</v>
      </c>
      <c r="L349" s="16">
        <v>314.5</v>
      </c>
      <c r="M349" s="16">
        <v>1</v>
      </c>
      <c r="N349" s="16" t="s">
        <v>84</v>
      </c>
      <c r="O349" s="16" t="s">
        <v>816</v>
      </c>
      <c r="P349" s="16">
        <v>29.77</v>
      </c>
      <c r="Q349" s="16" t="s">
        <v>86</v>
      </c>
      <c r="R349" s="42"/>
      <c r="S349" s="42"/>
      <c r="T349" s="42"/>
      <c r="U349" s="42"/>
      <c r="V349" s="42"/>
      <c r="W349" s="42"/>
      <c r="X349" s="42"/>
      <c r="Y349" s="42"/>
      <c r="Z349" s="42"/>
      <c r="AA349" s="42"/>
      <c r="AB349" s="42"/>
      <c r="AC349" s="51"/>
      <c r="AD349" s="52"/>
      <c r="AE349" s="116"/>
      <c r="AF349" s="52">
        <v>1</v>
      </c>
      <c r="AG349" s="58" t="s">
        <v>86</v>
      </c>
    </row>
    <row r="350" s="1" customFormat="1" ht="33.75" hidden="1" spans="1:33">
      <c r="A350" s="10">
        <v>345</v>
      </c>
      <c r="B350" s="16" t="s">
        <v>10</v>
      </c>
      <c r="C350" s="16" t="s">
        <v>809</v>
      </c>
      <c r="D350" s="16" t="s">
        <v>810</v>
      </c>
      <c r="E350" s="16" t="s">
        <v>811</v>
      </c>
      <c r="F350" s="16" t="s">
        <v>817</v>
      </c>
      <c r="G350" s="16" t="s">
        <v>818</v>
      </c>
      <c r="H350" s="16" t="s">
        <v>819</v>
      </c>
      <c r="I350" s="101" t="s">
        <v>82</v>
      </c>
      <c r="J350" s="16" t="s">
        <v>820</v>
      </c>
      <c r="K350" s="16">
        <v>1</v>
      </c>
      <c r="L350" s="16">
        <v>437.76</v>
      </c>
      <c r="M350" s="16">
        <v>1</v>
      </c>
      <c r="N350" s="16" t="s">
        <v>84</v>
      </c>
      <c r="O350" s="16" t="s">
        <v>816</v>
      </c>
      <c r="P350" s="16">
        <v>30.34</v>
      </c>
      <c r="Q350" s="16" t="s">
        <v>86</v>
      </c>
      <c r="R350" s="42"/>
      <c r="S350" s="42"/>
      <c r="T350" s="42"/>
      <c r="U350" s="42"/>
      <c r="V350" s="42"/>
      <c r="W350" s="42"/>
      <c r="X350" s="42"/>
      <c r="Y350" s="42"/>
      <c r="Z350" s="42"/>
      <c r="AA350" s="42"/>
      <c r="AB350" s="42"/>
      <c r="AC350" s="51"/>
      <c r="AD350" s="52"/>
      <c r="AE350" s="116"/>
      <c r="AF350" s="52">
        <v>1</v>
      </c>
      <c r="AG350" s="58" t="s">
        <v>86</v>
      </c>
    </row>
    <row r="351" s="1" customFormat="1" ht="22.5" hidden="1" spans="1:33">
      <c r="A351" s="10">
        <v>346</v>
      </c>
      <c r="B351" s="106" t="s">
        <v>9</v>
      </c>
      <c r="C351" s="106" t="s">
        <v>821</v>
      </c>
      <c r="D351" s="106" t="s">
        <v>822</v>
      </c>
      <c r="E351" s="106" t="s">
        <v>823</v>
      </c>
      <c r="F351" s="106" t="s">
        <v>824</v>
      </c>
      <c r="G351" s="107" t="s">
        <v>192</v>
      </c>
      <c r="H351" s="108"/>
      <c r="I351" s="101" t="s">
        <v>82</v>
      </c>
      <c r="J351" s="106" t="s">
        <v>83</v>
      </c>
      <c r="K351" s="107">
        <v>12</v>
      </c>
      <c r="L351" s="110">
        <v>729</v>
      </c>
      <c r="M351" s="110">
        <v>2</v>
      </c>
      <c r="N351" s="111" t="s">
        <v>84</v>
      </c>
      <c r="O351" s="112" t="s">
        <v>27</v>
      </c>
      <c r="P351" s="113"/>
      <c r="Q351" s="114" t="s">
        <v>85</v>
      </c>
      <c r="R351" s="42"/>
      <c r="S351" s="42"/>
      <c r="T351" s="42"/>
      <c r="U351" s="42"/>
      <c r="V351" s="42"/>
      <c r="W351" s="42"/>
      <c r="X351" s="42"/>
      <c r="Y351" s="42"/>
      <c r="Z351" s="42"/>
      <c r="AA351" s="42"/>
      <c r="AB351" s="42"/>
      <c r="AC351" s="51"/>
      <c r="AD351" s="52"/>
      <c r="AE351" s="116"/>
      <c r="AF351" s="52">
        <v>1</v>
      </c>
      <c r="AG351" s="58" t="s">
        <v>86</v>
      </c>
    </row>
    <row r="352" s="1" customFormat="1" ht="22.5" hidden="1" spans="1:33">
      <c r="A352" s="10">
        <v>347</v>
      </c>
      <c r="B352" s="106" t="s">
        <v>9</v>
      </c>
      <c r="C352" s="106" t="s">
        <v>821</v>
      </c>
      <c r="D352" s="106" t="s">
        <v>822</v>
      </c>
      <c r="E352" s="106" t="s">
        <v>823</v>
      </c>
      <c r="F352" s="106" t="s">
        <v>825</v>
      </c>
      <c r="G352" s="107" t="s">
        <v>192</v>
      </c>
      <c r="H352" s="108"/>
      <c r="I352" s="101" t="s">
        <v>82</v>
      </c>
      <c r="J352" s="106" t="s">
        <v>83</v>
      </c>
      <c r="K352" s="107">
        <v>14</v>
      </c>
      <c r="L352" s="110">
        <v>598</v>
      </c>
      <c r="M352" s="110">
        <v>2</v>
      </c>
      <c r="N352" s="111" t="s">
        <v>84</v>
      </c>
      <c r="O352" s="112" t="s">
        <v>27</v>
      </c>
      <c r="P352" s="113"/>
      <c r="Q352" s="114" t="s">
        <v>85</v>
      </c>
      <c r="R352" s="42"/>
      <c r="S352" s="42"/>
      <c r="T352" s="42"/>
      <c r="U352" s="42"/>
      <c r="V352" s="42"/>
      <c r="W352" s="42"/>
      <c r="X352" s="42"/>
      <c r="Y352" s="42"/>
      <c r="Z352" s="42"/>
      <c r="AA352" s="42"/>
      <c r="AB352" s="42"/>
      <c r="AC352" s="51"/>
      <c r="AD352" s="52"/>
      <c r="AE352" s="116"/>
      <c r="AF352" s="52">
        <v>1</v>
      </c>
      <c r="AG352" s="58" t="s">
        <v>86</v>
      </c>
    </row>
    <row r="353" s="1" customFormat="1" ht="45" hidden="1" spans="1:33">
      <c r="A353" s="10">
        <v>348</v>
      </c>
      <c r="B353" s="59" t="s">
        <v>11</v>
      </c>
      <c r="C353" s="59" t="s">
        <v>826</v>
      </c>
      <c r="D353" s="59" t="s">
        <v>827</v>
      </c>
      <c r="E353" s="16" t="s">
        <v>828</v>
      </c>
      <c r="F353" s="16" t="s">
        <v>829</v>
      </c>
      <c r="G353" s="16" t="s">
        <v>830</v>
      </c>
      <c r="H353" s="16"/>
      <c r="I353" s="101" t="s">
        <v>82</v>
      </c>
      <c r="J353" s="16" t="s">
        <v>798</v>
      </c>
      <c r="K353" s="16">
        <v>0</v>
      </c>
      <c r="L353" s="16">
        <v>1000</v>
      </c>
      <c r="M353" s="16">
        <v>3</v>
      </c>
      <c r="N353" s="16" t="s">
        <v>89</v>
      </c>
      <c r="O353" s="16" t="s">
        <v>816</v>
      </c>
      <c r="P353" s="16" t="s">
        <v>831</v>
      </c>
      <c r="Q353" s="16" t="s">
        <v>86</v>
      </c>
      <c r="R353" s="42"/>
      <c r="S353" s="42"/>
      <c r="T353" s="42"/>
      <c r="U353" s="42"/>
      <c r="V353" s="42"/>
      <c r="W353" s="42"/>
      <c r="X353" s="42"/>
      <c r="Y353" s="42"/>
      <c r="Z353" s="42"/>
      <c r="AA353" s="42"/>
      <c r="AB353" s="42"/>
      <c r="AC353" s="51"/>
      <c r="AD353" s="52"/>
      <c r="AE353" s="116"/>
      <c r="AF353" s="52">
        <v>1</v>
      </c>
      <c r="AG353" s="58" t="s">
        <v>86</v>
      </c>
    </row>
    <row r="354" s="1" customFormat="1" hidden="1" spans="18:29">
      <c r="R354" s="2"/>
      <c r="S354" s="2"/>
      <c r="T354" s="2"/>
      <c r="U354" s="2"/>
      <c r="V354" s="115"/>
      <c r="W354" s="2"/>
      <c r="X354" s="2"/>
      <c r="Y354" s="2"/>
      <c r="Z354" s="2"/>
      <c r="AA354" s="2"/>
      <c r="AB354" s="115"/>
      <c r="AC354" s="117" t="str">
        <f>IF(OR(AND(V354&gt;0,V354&lt;=30%),AND(AB354&gt;0,AB354&lt;=60%)),0,IF(OR(AND(V354&gt;30%,V354&lt;90%),AND(AB354&gt;60%,AB354&lt;80%)),P354*(V354+AB354),IF(OR(V354&gt;=90%,AB354&gt;=80%),P354,"")))</f>
        <v/>
      </c>
    </row>
  </sheetData>
  <sheetProtection password="CF7A" sheet="1" objects="1"/>
  <protectedRanges>
    <protectedRange password="CF7A" sqref="R6:AC353" name="区域1"/>
  </protectedRanges>
  <autoFilter ref="A5:AG354">
    <filterColumn colId="1">
      <customFilters>
        <customFilter operator="equal" val="芙蓉区"/>
      </customFilters>
    </filterColumn>
    <extLst/>
  </autoFilter>
  <mergeCells count="34">
    <mergeCell ref="A1:AG1"/>
    <mergeCell ref="A2:F2"/>
    <mergeCell ref="J2:N2"/>
    <mergeCell ref="X2:Y2"/>
    <mergeCell ref="Z2:AB2"/>
    <mergeCell ref="G3:Q3"/>
    <mergeCell ref="R3:AB3"/>
    <mergeCell ref="R4:V4"/>
    <mergeCell ref="W4:AB4"/>
    <mergeCell ref="A3:A5"/>
    <mergeCell ref="B3:B5"/>
    <mergeCell ref="C3:C5"/>
    <mergeCell ref="D3:D5"/>
    <mergeCell ref="E3:E5"/>
    <mergeCell ref="F3:F5"/>
    <mergeCell ref="G4:G5"/>
    <mergeCell ref="H4:H5"/>
    <mergeCell ref="I4:I5"/>
    <mergeCell ref="J4:J5"/>
    <mergeCell ref="K4:K5"/>
    <mergeCell ref="K61:K64"/>
    <mergeCell ref="L4:L5"/>
    <mergeCell ref="L61:L64"/>
    <mergeCell ref="M4:M5"/>
    <mergeCell ref="N4:N5"/>
    <mergeCell ref="O4:O5"/>
    <mergeCell ref="P4:P5"/>
    <mergeCell ref="P61:P64"/>
    <mergeCell ref="Q4:Q5"/>
    <mergeCell ref="AC3:AC5"/>
    <mergeCell ref="AD3:AD5"/>
    <mergeCell ref="AE3:AE5"/>
    <mergeCell ref="AF3:AF5"/>
    <mergeCell ref="AG3:AG5"/>
  </mergeCells>
  <conditionalFormatting sqref="F6">
    <cfRule type="duplicateValues" dxfId="0" priority="181"/>
    <cfRule type="duplicateValues" dxfId="0" priority="180"/>
    <cfRule type="duplicateValues" dxfId="0" priority="179"/>
    <cfRule type="duplicateValues" dxfId="0" priority="178"/>
    <cfRule type="duplicateValues" dxfId="0" priority="177"/>
  </conditionalFormatting>
  <conditionalFormatting sqref="F7">
    <cfRule type="duplicateValues" dxfId="0" priority="196"/>
    <cfRule type="duplicateValues" dxfId="0" priority="195"/>
    <cfRule type="duplicateValues" dxfId="0" priority="194"/>
    <cfRule type="duplicateValues" dxfId="0" priority="193"/>
    <cfRule type="duplicateValues" dxfId="0" priority="192"/>
  </conditionalFormatting>
  <conditionalFormatting sqref="F8">
    <cfRule type="duplicateValues" dxfId="0" priority="201"/>
    <cfRule type="duplicateValues" dxfId="0" priority="200"/>
    <cfRule type="duplicateValues" dxfId="0" priority="199"/>
    <cfRule type="duplicateValues" dxfId="0" priority="198"/>
    <cfRule type="duplicateValues" dxfId="0" priority="197"/>
  </conditionalFormatting>
  <conditionalFormatting sqref="F9">
    <cfRule type="duplicateValues" dxfId="0" priority="191"/>
    <cfRule type="duplicateValues" dxfId="0" priority="190"/>
    <cfRule type="duplicateValues" dxfId="0" priority="189"/>
    <cfRule type="duplicateValues" dxfId="0" priority="188"/>
    <cfRule type="duplicateValues" dxfId="0" priority="187"/>
  </conditionalFormatting>
  <conditionalFormatting sqref="F10">
    <cfRule type="duplicateValues" dxfId="0" priority="186"/>
    <cfRule type="duplicateValues" dxfId="0" priority="185"/>
    <cfRule type="duplicateValues" dxfId="0" priority="184"/>
    <cfRule type="duplicateValues" dxfId="0" priority="183"/>
    <cfRule type="duplicateValues" dxfId="0" priority="182"/>
  </conditionalFormatting>
  <conditionalFormatting sqref="F11">
    <cfRule type="duplicateValues" dxfId="0" priority="202"/>
    <cfRule type="duplicateValues" dxfId="0" priority="203"/>
    <cfRule type="duplicateValues" dxfId="0" priority="204"/>
    <cfRule type="duplicateValues" dxfId="0" priority="205"/>
    <cfRule type="duplicateValues" dxfId="0" priority="206"/>
  </conditionalFormatting>
  <conditionalFormatting sqref="AE42">
    <cfRule type="cellIs" dxfId="1" priority="176" operator="equal">
      <formula>"民生实事"</formula>
    </cfRule>
    <cfRule type="containsText" dxfId="2" priority="175" operator="between" text="民生实事">
      <formula>NOT(ISERROR(SEARCH("民生实事",AE42)))</formula>
    </cfRule>
  </conditionalFormatting>
  <conditionalFormatting sqref="F53">
    <cfRule type="duplicateValues" dxfId="0" priority="80"/>
  </conditionalFormatting>
  <conditionalFormatting sqref="E109">
    <cfRule type="duplicateValues" dxfId="3" priority="18"/>
  </conditionalFormatting>
  <conditionalFormatting sqref="F109">
    <cfRule type="duplicateValues" dxfId="0" priority="17"/>
    <cfRule type="duplicateValues" dxfId="0" priority="16"/>
    <cfRule type="duplicateValues" dxfId="0" priority="15"/>
    <cfRule type="duplicateValues" dxfId="0" priority="14"/>
    <cfRule type="duplicateValues" dxfId="0" priority="13"/>
  </conditionalFormatting>
  <conditionalFormatting sqref="F126">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0" priority="27"/>
    <cfRule type="duplicateValues" dxfId="0" priority="26"/>
  </conditionalFormatting>
  <conditionalFormatting sqref="L185">
    <cfRule type="duplicateValues" dxfId="0" priority="86"/>
  </conditionalFormatting>
  <conditionalFormatting sqref="F188">
    <cfRule type="duplicateValues" dxfId="0" priority="151"/>
    <cfRule type="duplicateValues" dxfId="0" priority="150"/>
    <cfRule type="duplicateValues" dxfId="0" priority="149"/>
    <cfRule type="duplicateValues" dxfId="0" priority="148"/>
    <cfRule type="duplicateValues" dxfId="0" priority="147"/>
    <cfRule type="duplicateValues" dxfId="0" priority="146"/>
    <cfRule type="duplicateValues" dxfId="0" priority="145"/>
    <cfRule type="duplicateValues" dxfId="0" priority="144"/>
    <cfRule type="duplicateValues" dxfId="0" priority="143"/>
    <cfRule type="duplicateValues" dxfId="0" priority="142"/>
    <cfRule type="duplicateValues" dxfId="0" priority="141"/>
    <cfRule type="duplicateValues" dxfId="0" priority="140"/>
    <cfRule type="duplicateValues" dxfId="0" priority="139"/>
    <cfRule type="duplicateValues" dxfId="0" priority="138"/>
    <cfRule type="duplicateValues" dxfId="0" priority="137"/>
    <cfRule type="duplicateValues" dxfId="0" priority="136"/>
    <cfRule type="duplicateValues" dxfId="0" priority="135"/>
  </conditionalFormatting>
  <conditionalFormatting sqref="L188">
    <cfRule type="duplicateValues" dxfId="0" priority="85"/>
  </conditionalFormatting>
  <conditionalFormatting sqref="F193">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4"/>
    <cfRule type="duplicateValues" dxfId="0" priority="103"/>
  </conditionalFormatting>
  <conditionalFormatting sqref="L193">
    <cfRule type="duplicateValues" dxfId="0" priority="83"/>
  </conditionalFormatting>
  <conditionalFormatting sqref="F194">
    <cfRule type="duplicateValues" dxfId="0" priority="102"/>
    <cfRule type="duplicateValues" dxfId="0" priority="101"/>
    <cfRule type="duplicateValues" dxfId="0" priority="100"/>
    <cfRule type="duplicateValues" dxfId="0" priority="99"/>
    <cfRule type="duplicateValues" dxfId="0"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fRule type="duplicateValues" dxfId="0" priority="91"/>
    <cfRule type="duplicateValues" dxfId="0" priority="90"/>
    <cfRule type="duplicateValues" dxfId="0" priority="89"/>
  </conditionalFormatting>
  <conditionalFormatting sqref="D202">
    <cfRule type="duplicateValues" dxfId="3" priority="380"/>
  </conditionalFormatting>
  <conditionalFormatting sqref="D203">
    <cfRule type="duplicateValues" dxfId="3" priority="379"/>
  </conditionalFormatting>
  <conditionalFormatting sqref="D205">
    <cfRule type="duplicateValues" dxfId="3" priority="5"/>
  </conditionalFormatting>
  <conditionalFormatting sqref="D206">
    <cfRule type="duplicateValues" dxfId="3" priority="4"/>
  </conditionalFormatting>
  <conditionalFormatting sqref="E341">
    <cfRule type="duplicateValues" dxfId="3" priority="2"/>
  </conditionalFormatting>
  <conditionalFormatting sqref="E6:E12">
    <cfRule type="duplicateValues" dxfId="0" priority="207"/>
    <cfRule type="duplicateValues" dxfId="0" priority="208"/>
    <cfRule type="duplicateValues" dxfId="0" priority="209"/>
    <cfRule type="duplicateValues" dxfId="0" priority="210"/>
    <cfRule type="duplicateValues" dxfId="0" priority="211"/>
  </conditionalFormatting>
  <conditionalFormatting sqref="E42:E43">
    <cfRule type="duplicateValues" dxfId="0" priority="1"/>
  </conditionalFormatting>
  <conditionalFormatting sqref="E101:E108">
    <cfRule type="duplicateValues" dxfId="3" priority="52"/>
  </conditionalFormatting>
  <conditionalFormatting sqref="E110:E125">
    <cfRule type="duplicateValues" dxfId="3" priority="46"/>
  </conditionalFormatting>
  <conditionalFormatting sqref="E127:E159">
    <cfRule type="duplicateValues" dxfId="3" priority="73"/>
  </conditionalFormatting>
  <conditionalFormatting sqref="E160:E168">
    <cfRule type="duplicateValues" dxfId="0" priority="63"/>
    <cfRule type="duplicateValues" dxfId="0" priority="62"/>
    <cfRule type="duplicateValues" dxfId="0" priority="61"/>
    <cfRule type="duplicateValues" dxfId="0" priority="60"/>
    <cfRule type="duplicateValues" dxfId="0" priority="59"/>
    <cfRule type="duplicateValues" dxfId="0" priority="58"/>
    <cfRule type="duplicateValues" dxfId="0" priority="57"/>
    <cfRule type="duplicateValues" dxfId="0" priority="56"/>
  </conditionalFormatting>
  <conditionalFormatting sqref="E169:E194">
    <cfRule type="duplicateValues" dxfId="0" priority="81"/>
  </conditionalFormatting>
  <conditionalFormatting sqref="E213:E223">
    <cfRule type="duplicateValues" dxfId="3" priority="6"/>
  </conditionalFormatting>
  <conditionalFormatting sqref="E225:E320">
    <cfRule type="duplicateValues" dxfId="0" priority="3"/>
  </conditionalFormatting>
  <conditionalFormatting sqref="F54:F55">
    <cfRule type="duplicateValues" dxfId="0" priority="76"/>
  </conditionalFormatting>
  <conditionalFormatting sqref="F61:F64">
    <cfRule type="duplicateValues" dxfId="3" priority="75"/>
  </conditionalFormatting>
  <conditionalFormatting sqref="F65:F66">
    <cfRule type="duplicateValues" dxfId="0" priority="77"/>
  </conditionalFormatting>
  <conditionalFormatting sqref="F76:F80">
    <cfRule type="duplicateValues" dxfId="3" priority="74"/>
  </conditionalFormatting>
  <conditionalFormatting sqref="F83:F86">
    <cfRule type="duplicateValues" dxfId="0" priority="78"/>
  </conditionalFormatting>
  <conditionalFormatting sqref="F101:F108">
    <cfRule type="duplicateValues" dxfId="0" priority="51"/>
    <cfRule type="duplicateValues" dxfId="0" priority="50"/>
    <cfRule type="duplicateValues" dxfId="0" priority="49"/>
    <cfRule type="duplicateValues" dxfId="0" priority="48"/>
  </conditionalFormatting>
  <conditionalFormatting sqref="F101:F168">
    <cfRule type="duplicateValues" dxfId="0" priority="12"/>
    <cfRule type="duplicateValues" dxfId="0" priority="11"/>
    <cfRule type="duplicateValues" dxfId="0" priority="10"/>
    <cfRule type="duplicateValues" dxfId="0" priority="9"/>
    <cfRule type="duplicateValues" dxfId="0" priority="8"/>
    <cfRule type="duplicateValues" dxfId="0" priority="7"/>
  </conditionalFormatting>
  <conditionalFormatting sqref="F110:F125">
    <cfRule type="duplicateValues" dxfId="0" priority="45"/>
  </conditionalFormatting>
  <conditionalFormatting sqref="F127:F159">
    <cfRule type="duplicateValues" dxfId="0" priority="72"/>
  </conditionalFormatting>
  <conditionalFormatting sqref="F127:F168">
    <cfRule type="duplicateValues" dxfId="0" priority="55"/>
    <cfRule type="duplicateValues" dxfId="0" priority="54"/>
    <cfRule type="duplicateValues" dxfId="0" priority="53"/>
  </conditionalFormatting>
  <conditionalFormatting sqref="F160:F168">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onditionalFormatting>
  <conditionalFormatting sqref="F169:F183">
    <cfRule type="duplicateValues" dxfId="0" priority="174"/>
    <cfRule type="duplicateValues" dxfId="0" priority="173"/>
    <cfRule type="duplicateValues" dxfId="0" priority="172"/>
    <cfRule type="duplicateValues" dxfId="0" priority="171"/>
    <cfRule type="duplicateValues" dxfId="0" priority="170"/>
    <cfRule type="duplicateValues" dxfId="0" priority="169"/>
  </conditionalFormatting>
  <conditionalFormatting sqref="F169:F194">
    <cfRule type="duplicateValues" dxfId="0" priority="82"/>
  </conditionalFormatting>
  <conditionalFormatting sqref="F184:F187">
    <cfRule type="duplicateValues" dxfId="0" priority="168"/>
    <cfRule type="duplicateValues" dxfId="0" priority="167"/>
    <cfRule type="duplicateValues" dxfId="0" priority="166"/>
    <cfRule type="duplicateValues" dxfId="0" priority="165"/>
    <cfRule type="duplicateValues" dxfId="0" priority="164"/>
    <cfRule type="duplicateValues" dxfId="0" priority="163"/>
    <cfRule type="duplicateValues" dxfId="0" priority="162"/>
    <cfRule type="duplicateValues" dxfId="0" priority="161"/>
    <cfRule type="duplicateValues" dxfId="0" priority="160"/>
    <cfRule type="duplicateValues" dxfId="0" priority="159"/>
    <cfRule type="duplicateValues" dxfId="0" priority="158"/>
    <cfRule type="duplicateValues" dxfId="0" priority="157"/>
    <cfRule type="duplicateValues" dxfId="0" priority="156"/>
    <cfRule type="duplicateValues" dxfId="0" priority="155"/>
    <cfRule type="duplicateValues" dxfId="0" priority="154"/>
    <cfRule type="duplicateValues" dxfId="0" priority="153"/>
    <cfRule type="duplicateValues" dxfId="0" priority="152"/>
  </conditionalFormatting>
  <conditionalFormatting sqref="F189:F192">
    <cfRule type="duplicateValues" dxfId="0" priority="134"/>
    <cfRule type="duplicateValues" dxfId="0" priority="133"/>
    <cfRule type="duplicateValues" dxfId="0" priority="132"/>
    <cfRule type="duplicateValues" dxfId="0" priority="131"/>
    <cfRule type="duplicateValues" dxfId="0" priority="130"/>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0" priority="118"/>
  </conditionalFormatting>
  <conditionalFormatting sqref="F195:F197">
    <cfRule type="duplicateValues" dxfId="0" priority="500"/>
  </conditionalFormatting>
  <conditionalFormatting sqref="F198:F201">
    <cfRule type="duplicateValues" dxfId="0" priority="431"/>
    <cfRule type="duplicateValues" dxfId="0" priority="432"/>
    <cfRule type="duplicateValues" dxfId="0" priority="433"/>
    <cfRule type="duplicateValues" dxfId="0" priority="434"/>
    <cfRule type="duplicateValues" dxfId="0" priority="435"/>
    <cfRule type="duplicateValues" dxfId="0" priority="436"/>
    <cfRule type="duplicateValues" dxfId="0" priority="443"/>
    <cfRule type="duplicateValues" dxfId="0" priority="444"/>
    <cfRule type="duplicateValues" dxfId="0" priority="445"/>
    <cfRule type="duplicateValues" dxfId="0" priority="446"/>
    <cfRule type="duplicateValues" dxfId="0" priority="447"/>
    <cfRule type="duplicateValues" dxfId="0" priority="448"/>
    <cfRule type="duplicateValues" dxfId="0" priority="449"/>
    <cfRule type="duplicateValues" dxfId="0" priority="471"/>
    <cfRule type="duplicateValues" dxfId="0" priority="472"/>
    <cfRule type="duplicateValues" dxfId="0" priority="473"/>
    <cfRule type="duplicateValues" dxfId="0" priority="474"/>
    <cfRule type="duplicateValues" dxfId="0" priority="475"/>
  </conditionalFormatting>
  <conditionalFormatting sqref="L169:L183">
    <cfRule type="duplicateValues" dxfId="0" priority="88"/>
  </conditionalFormatting>
  <conditionalFormatting sqref="L189:L192">
    <cfRule type="duplicateValues" dxfId="0" priority="84"/>
  </conditionalFormatting>
  <conditionalFormatting sqref="E44:E50 E13:E41">
    <cfRule type="duplicateValues" dxfId="0" priority="212"/>
  </conditionalFormatting>
  <conditionalFormatting sqref="F71:F75 F87:F100">
    <cfRule type="duplicateValues" dxfId="3" priority="79"/>
  </conditionalFormatting>
  <conditionalFormatting sqref="F101:F108 F127:F168">
    <cfRule type="duplicateValues" dxfId="0" priority="47"/>
  </conditionalFormatting>
  <conditionalFormatting sqref="F101:F108 F110:F168">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onditionalFormatting>
  <conditionalFormatting sqref="AE163:AE165 AE157:AE160">
    <cfRule type="duplicateValues" dxfId="0" priority="220"/>
    <cfRule type="duplicateValues" dxfId="0" priority="219"/>
    <cfRule type="duplicateValues" dxfId="0" priority="218"/>
    <cfRule type="duplicateValues" dxfId="0" priority="217"/>
    <cfRule type="duplicateValues" dxfId="0" priority="216"/>
    <cfRule type="duplicateValues" dxfId="0" priority="215"/>
    <cfRule type="duplicateValues" dxfId="0" priority="214"/>
    <cfRule type="duplicateValues" dxfId="0" priority="213"/>
  </conditionalFormatting>
  <conditionalFormatting sqref="L184 L186">
    <cfRule type="duplicateValues" dxfId="0" priority="87"/>
  </conditionalFormatting>
  <conditionalFormatting sqref="AE263:AE265 AE257:AE260">
    <cfRule type="duplicateValues" dxfId="0" priority="420"/>
    <cfRule type="duplicateValues" dxfId="0" priority="421"/>
    <cfRule type="duplicateValues" dxfId="0" priority="422"/>
    <cfRule type="duplicateValues" dxfId="0" priority="423"/>
    <cfRule type="duplicateValues" dxfId="0" priority="424"/>
    <cfRule type="duplicateValues" dxfId="0" priority="425"/>
    <cfRule type="duplicateValues" dxfId="0" priority="426"/>
    <cfRule type="duplicateValues" dxfId="0" priority="427"/>
  </conditionalFormatting>
  <dataValidations count="8">
    <dataValidation type="list" allowBlank="1" showInputMessage="1" showErrorMessage="1" sqref="N20 N21 N27 N28 N29 N32 N37 N41 N101 N104 N115 N120 N121 N122 N123 N125 N137 N138 N139 N140 N141 N142 N143 N144 N145 N146 N151 N157 N163 N234 N235 N243 N244 N261 N263 N266 N267 N268 N270 N278 N284 N286 N287 N112:N113 N201:N202">
      <formula1>"C,D,B"</formula1>
    </dataValidation>
    <dataValidation type="list" allowBlank="1" showInputMessage="1" showErrorMessage="1" sqref="I6 I7 I11 I12 I53 I76 I79 I80 I98 I99 I100 I189 I193 I194 I341 I342 I353 I8:I10 I13:I41 I42:I43 I44:I50 I51:I52 I54:I56 I57:I60 I61:I64 I65:I66 I69:I70 I71:I75 I77:I78 I83:I86 I87:I90 I91:I97 I101:I168 I169:I186 I187:I188 I190:I192 I195:I204 I205:I320 I321:I338 I339:I340 I343:I348 I349:I350 I351:I352">
      <formula1>"木结构,砌体结构,混合,钢结构,钢筋砼,其他"</formula1>
    </dataValidation>
    <dataValidation type="list" allowBlank="1" showInputMessage="1" showErrorMessage="1" sqref="J6 J7 J11 J12 J46 J53 J65 J66 J75 J76 J79 J80 J81 J82 J169 J177 J184 J186 J187 J188 J189 J190 J191 J192 J193 J194 J203 J204 J288 J289 J297 J298 J341 J342 J8:J10 J13:J41 J42:J43 J44:J45 J47:J50 J51:J52 J54:J56 J57:J60 J61:J64 J69:J70 J71:J74 J77:J78 J83:J86 J87:J97 J98:J100 J101:J129 J130:J168 J170:J174 J175:J176 J178:J180 J181:J183 J195:J197 J198:J202 J205:J207 J208:J224 J225:J287 J290:J296 J299:J310 J311:J320 J321:J325 J326:J338 J339:J340 J343:J348">
      <formula1>"住宅/商品房,住宅/集资房,住宅/私房,住宅/直管公房,住宅/自管公房,住宅/房改房,非住宅/公共建筑,非住宅/其他"</formula1>
    </dataValidation>
    <dataValidation type="list" allowBlank="1" showInputMessage="1" showErrorMessage="1" sqref="Q6 Q7 Q11 Q12 Q53 Q81 Q82 Q83 Q84 Q85 Q86 Q87 Q88 Q89 Q90 Q91 Q92 Q93 Q94 Q95 Q96 Q97 Q98 Q193 Q303 Q304 Q305 Q306 Q307 Q308 Q309 Q310 Q311 Q312 Q313 Q314 Q315 Q316 Q317 Q318 Q319 Q320 Q338 Q341 Q342 Q8:Q10 Q13:Q41 Q42:Q43 Q44:Q50 Q51:Q52 Q54:Q56 Q57:Q60 Q61:Q64 Q65:Q66 Q71:Q75 Q76:Q78 Q79:Q80 Q99:Q100 Q101:Q129 Q130:Q168 Q195:Q204 Q205:Q263 Q288:Q289 Q290:Q302 Q321:Q337 Q339:Q340 Q343:Q348">
      <formula1>"是,否"</formula1>
    </dataValidation>
    <dataValidation type="list" allowBlank="1" showInputMessage="1" showErrorMessage="1" sqref="N6 N7 N11 N12 N36 N38 N47 N51 N56 N76 N79 N80 N83 N84 N98 N110 N111 N114 N116 N119 N124 N126 N273 N274 N275 N276 N277 N285 N288 N289 N290 N291 N292 N293 N306 N307 N319 N320 N8:N10 N39:N40 N44:N46 N48:N50 N71:N75 N77:N78 N85:N86 N87:N97 N99:N100 N117:N118 N279:N283 N294:N299 N300:N303 N304:N305 N308:N309 N310:N313 N314:N316 N317:N318">
      <formula1>"C,D"</formula1>
    </dataValidation>
    <dataValidation type="list" allowBlank="1" showInputMessage="1" showErrorMessage="1" sqref="N102 N103 N105 N106 N107 N108 N127 N129 N130 N135 N156 N158 N159 N131:N132 N133:N134 N147:N150 N152:N153 N154:N155">
      <formula1>"是"</formula1>
    </dataValidation>
    <dataValidation type="list" allowBlank="1" showInputMessage="1" showErrorMessage="1" sqref="O6 O7 O11 O12 O53 O75 O79 O80 O81 O82 O98 O169 O170 O177 O184 O185 O186 O187 O188 O189 O190 O191 O192 O193 O194 O201 O204 O225 O226 O300 O307 O310 O320 O341 O8:O10 O13:O41 O42:O43 O44:O50 O51:O52 O54:O56 O57:O60 O61:O64 O65:O66 O67:O68 O69:O70 O71:O74 O76:O78 O85:O86 O87:O97 O99:O100 O101:O129 O130:O168 O171:O174 O175:O176 O178:O180 O181:O183 O195:O197 O198:O200 O202:O203 O205:O208 O209:O224 O227:O228 O229:O287 O288:O290 O291:O297 O298:O299 O301:O303 O304:O306 O308:O309 O311:O314 O315:O319 O321:O338 O339:O340 O342:O343 O344:O348">
      <formula1>"维修加固,原址重建,棚改征收,拆除补偿,加面重建"</formula1>
    </dataValidation>
    <dataValidation type="list" allowBlank="1" showInputMessage="1" showErrorMessage="1" sqref="B51 B52 B101 B102 B103 B109 B129 B130 B136 B137 B145 B168 B169 B170 B177 B184 B185 B186 B187 B188 B189 B190 B191 B192 B193 B194 B205 B206 B337 B338 B339 B340 B341 B67:B68 B69:B70 B104:B106 B107:B108 B110:B121 B122:B126 B127:B128 B131:B135 B138:B144 B146:B155 B156:B157 B158:B159 B160:B167 B171:B174 B175:B176 B178:B180 B181:B183 B207:B224 B342:B348">
      <formula1>"芙蓉区,天心区,岳麓区,开福区,雨花区,长房集团"</formula1>
    </dataValidation>
  </dataValidations>
  <hyperlinks>
    <hyperlink ref="H13" r:id="rId1" display="长房权证芙蓉字第00318364号"/>
    <hyperlink ref="H14" r:id="rId2" display="长房权证芙蓉字第00365791号"/>
    <hyperlink ref="H15" r:id="rId3" display="长房权证芙蓉字第00318219号"/>
    <hyperlink ref="H17" r:id="rId4" display="长房权证芙蓉字第00302754号"/>
    <hyperlink ref="H18" r:id="rId4" display="长房权证芙蓉字第00302754号"/>
    <hyperlink ref="H19" r:id="rId5" display="长房权证芙蓉字第00316385号"/>
    <hyperlink ref="H21" r:id="rId6" display="长房权证芙蓉字第00362412号"/>
    <hyperlink ref="H23" r:id="rId7" display="长房权证芙蓉字第00362411号"/>
    <hyperlink ref="H30" r:id="rId8" display="长房权证芙蓉字第00317147号"/>
    <hyperlink ref="H31" r:id="rId9" display="湘（2020）长沙市不动产权第0150818号"/>
    <hyperlink ref="H32" r:id="rId10" display="长房权证芙蓉字第00365792号"/>
    <hyperlink ref="H33" r:id="rId11" display="长房权证芙蓉字第00302729号"/>
    <hyperlink ref="H34" r:id="rId12" display="长房权证芙蓉字第00317169号"/>
    <hyperlink ref="H44" r:id="rId13" display="长房权证芙蓉字第710134249号"/>
    <hyperlink ref="H45" r:id="rId14" display="长房权证芙蓉字第00302639号"/>
    <hyperlink ref="H47" r:id="rId15" display="长房权证开福字第00317173号"/>
    <hyperlink ref="H48" r:id="rId16" display="长房权证芙蓉字第00316206号"/>
    <hyperlink ref="H49" r:id="rId17" display="长房权证芙蓉字第00316298号"/>
    <hyperlink ref="H267" r:id="rId18" display="长房权证开福字第00314537号"/>
    <hyperlink ref="H266" r:id="rId19" display="长房权证开福字第00314533号"/>
    <hyperlink ref="H268" r:id="rId20" display="长房权证开福字第00316728号"/>
    <hyperlink ref="H269" r:id="rId21" display="长房权证开福字第00316970号"/>
    <hyperlink ref="H270" r:id="rId22" display="长房权证开福字第00316971号"/>
    <hyperlink ref="H271" r:id="rId23" display="长房权证开福字第00316965号"/>
    <hyperlink ref="H272" r:id="rId24" display="长房权证开福字第00316972号"/>
    <hyperlink ref="H304" r:id="rId25" display="长房权证开福字第00314564号"/>
    <hyperlink ref="H305" r:id="rId26" display="长房权证开福字第00314567号"/>
    <hyperlink ref="H306" r:id="rId27" display="长房权证开福字第00314572号"/>
    <hyperlink ref="H42" r:id="rId28" display="长房权证芙蓉字第00302756号"/>
    <hyperlink ref="H43" r:id="rId29" display="长房权证芙蓉字第00390047号"/>
  </hyperlinks>
  <pageMargins left="0.75" right="0.75" top="1" bottom="1" header="0.5" footer="0.5"/>
  <pageSetup paperSize="9" scale="56"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1" rangeCreator="" othersAccessPermission="edit"/>
    <arrUserId title="区域1_1" rangeCreator="" othersAccessPermission="edit"/>
  </rangeList>
  <rangeList sheetStid="3" master="">
    <arrUserId title="区域1" rangeCreator="" othersAccessPermission="edit"/>
    <arrUserId title="区域1_1" rangeCreator="" othersAccessPermission="edit"/>
  </rangeList>
  <rangeList sheetStid="6" master="">
    <arrUserId title="区域1" rangeCreator="" othersAccessPermission="edit"/>
    <arrUserId title="区域1_1" rangeCreator="" othersAccessPermission="edit"/>
  </rangeList>
  <rangeList sheetStid="5" master="">
    <arrUserId title="区域1" rangeCreator="" othersAccessPermission="edit"/>
    <arrUserId title="区域1_1" rangeCreator="" othersAccessPermission="edit"/>
  </rangeList>
  <rangeList sheetStid="1"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城镇危旧房计划汇总 （区县不涵盖长房）</vt:lpstr>
      <vt:lpstr>城镇危旧房计划汇总 （区县涵盖长房）</vt:lpstr>
      <vt:lpstr>城镇民生实事计划汇总 （区县涵盖长房）</vt:lpstr>
      <vt:lpstr>城镇民生实事计划汇总 （区县不涵盖长房） </vt:lpstr>
      <vt:lpstr>危旧房屋改造项目分表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怀表兔子</dc:creator>
  <cp:lastModifiedBy>冰箱</cp:lastModifiedBy>
  <dcterms:created xsi:type="dcterms:W3CDTF">2021-11-26T02:48:00Z</dcterms:created>
  <dcterms:modified xsi:type="dcterms:W3CDTF">2022-12-14T08:34:58Z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BBCF1A82B39F4B3D91F537BA240F210A</vt:lpwstr>
  </property>
  <property fmtid="{D5CDD505-2E9C-101B-9397-08002B2CF9AE}" pid="3" name="KSOProductBuildVer">
    <vt:lpwstr>2052-11.1.0.12650</vt:lpwstr>
  </property>
  <property fmtid="{D5CDD505-2E9C-101B-9397-08002B2CF9AE}" pid="4" name="KSOReadingLayout">
    <vt:bool>true</vt:bool>
  </property>
</Properties>
</file>